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4.ภาคใต้\"/>
    </mc:Choice>
  </mc:AlternateContent>
  <xr:revisionPtr revIDLastSave="0" documentId="13_ncr:1_{DA9F3EEF-3C6E-4421-B708-7F38155AFE88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พังงา" sheetId="7" r:id="rId7"/>
    <sheet name="พัทลุง" sheetId="8" r:id="rId8"/>
    <sheet name="ปัตตานี" sheetId="9" r:id="rId9"/>
    <sheet name="ภูเก็ต" sheetId="10" r:id="rId10"/>
    <sheet name="ยะลา" sheetId="11" r:id="rId11"/>
    <sheet name="ระนอง" sheetId="14" r:id="rId12"/>
    <sheet name="สงขลา" sheetId="12" r:id="rId13"/>
    <sheet name="สตูล" sheetId="13" r:id="rId14"/>
    <sheet name="สุราษฎร์ธานี" sheetId="15" r:id="rId15"/>
  </sheets>
  <definedNames>
    <definedName name="_xlnm.Print_Titles" localSheetId="1">กระบี่!$1:$5</definedName>
    <definedName name="_xlnm.Print_Titles" localSheetId="2">ชุมพร!$1:$5</definedName>
    <definedName name="_xlnm.Print_Titles" localSheetId="3">ตรัง!$1:$5</definedName>
    <definedName name="_xlnm.Print_Titles" localSheetId="4">นครศรีธรรมราช!$1:$5</definedName>
    <definedName name="_xlnm.Print_Titles" localSheetId="5">นราธิวาส!$1:$5</definedName>
    <definedName name="_xlnm.Print_Titles" localSheetId="8">ปัตตานี!$1:$5</definedName>
    <definedName name="_xlnm.Print_Titles" localSheetId="6">พังงา!$1:$5</definedName>
    <definedName name="_xlnm.Print_Titles" localSheetId="7">พัทลุง!$1:$5</definedName>
    <definedName name="_xlnm.Print_Titles" localSheetId="9">ภูเก็ต!$1:$5</definedName>
    <definedName name="_xlnm.Print_Titles" localSheetId="10">ยะลา!$1:$5</definedName>
    <definedName name="_xlnm.Print_Titles" localSheetId="0">รวมใต้!$1:$5</definedName>
    <definedName name="_xlnm.Print_Titles" localSheetId="11">ระนอง!$1:$5</definedName>
    <definedName name="_xlnm.Print_Titles" localSheetId="12">สงขลา!$1:$5</definedName>
    <definedName name="_xlnm.Print_Titles" localSheetId="13">สตูล!$1:$5</definedName>
    <definedName name="_xlnm.Print_Titles" localSheetId="14">สุราษฎร์ธานี!$1:$5</definedName>
  </definedNames>
  <calcPr calcId="179021"/>
</workbook>
</file>

<file path=xl/calcChain.xml><?xml version="1.0" encoding="utf-8"?>
<calcChain xmlns="http://schemas.openxmlformats.org/spreadsheetml/2006/main">
  <c r="J528" i="15" l="1"/>
  <c r="I528" i="15"/>
  <c r="J527" i="15"/>
  <c r="I527" i="15"/>
  <c r="J526" i="15"/>
  <c r="I526" i="15"/>
  <c r="K526" i="15" s="1"/>
  <c r="J525" i="15"/>
  <c r="I525" i="15"/>
  <c r="K525" i="15" s="1"/>
  <c r="J524" i="15"/>
  <c r="I524" i="15"/>
  <c r="J523" i="15"/>
  <c r="I523" i="15"/>
  <c r="J522" i="15"/>
  <c r="I522" i="15"/>
  <c r="J521" i="15"/>
  <c r="I521" i="15"/>
  <c r="J517" i="15"/>
  <c r="I517" i="15"/>
  <c r="J514" i="15"/>
  <c r="I514" i="15"/>
  <c r="J513" i="15"/>
  <c r="I513" i="15"/>
  <c r="J510" i="15"/>
  <c r="J504" i="15" s="1"/>
  <c r="I510" i="15"/>
  <c r="I504" i="15"/>
  <c r="M494" i="15"/>
  <c r="L494" i="15"/>
  <c r="L493" i="15"/>
  <c r="M492" i="15"/>
  <c r="M490" i="15" s="1"/>
  <c r="N491" i="15"/>
  <c r="J490" i="15"/>
  <c r="K489" i="15"/>
  <c r="J489" i="15"/>
  <c r="J488" i="15"/>
  <c r="J473" i="15" s="1"/>
  <c r="I488" i="15"/>
  <c r="K488" i="15" s="1"/>
  <c r="K487" i="15"/>
  <c r="J487" i="15"/>
  <c r="J486" i="15"/>
  <c r="I486" i="15"/>
  <c r="K486" i="15" s="1"/>
  <c r="K485" i="15"/>
  <c r="J485" i="15"/>
  <c r="J484" i="15"/>
  <c r="I484" i="15"/>
  <c r="K483" i="15"/>
  <c r="J483" i="15"/>
  <c r="J482" i="15"/>
  <c r="I482" i="15"/>
  <c r="K482" i="15" s="1"/>
  <c r="M477" i="15"/>
  <c r="L477" i="15"/>
  <c r="N477" i="15" s="1"/>
  <c r="L476" i="15"/>
  <c r="M475" i="15"/>
  <c r="M473" i="15" s="1"/>
  <c r="N474" i="15"/>
  <c r="K472" i="15"/>
  <c r="K471" i="15"/>
  <c r="K470" i="15"/>
  <c r="K469" i="15"/>
  <c r="K468" i="15"/>
  <c r="J466" i="15"/>
  <c r="I466" i="15"/>
  <c r="M461" i="15"/>
  <c r="L461" i="15"/>
  <c r="L460" i="15"/>
  <c r="N458" i="15"/>
  <c r="J457" i="15"/>
  <c r="I456" i="15"/>
  <c r="K456" i="15" s="1"/>
  <c r="I455" i="15"/>
  <c r="K455" i="15" s="1"/>
  <c r="I454" i="15"/>
  <c r="K454" i="15" s="1"/>
  <c r="I453" i="15"/>
  <c r="M448" i="15"/>
  <c r="M446" i="15" s="1"/>
  <c r="M444" i="15" s="1"/>
  <c r="L448" i="15"/>
  <c r="N448" i="15" s="1"/>
  <c r="L447" i="15"/>
  <c r="N445" i="15"/>
  <c r="J444" i="15"/>
  <c r="I441" i="15"/>
  <c r="K441" i="15" s="1"/>
  <c r="I440" i="15"/>
  <c r="I426" i="15" s="1"/>
  <c r="K426" i="15" s="1"/>
  <c r="M430" i="15"/>
  <c r="M428" i="15" s="1"/>
  <c r="M426" i="15" s="1"/>
  <c r="L430" i="15"/>
  <c r="L429" i="15"/>
  <c r="N427" i="15"/>
  <c r="J426" i="15"/>
  <c r="K425" i="15"/>
  <c r="K424" i="15"/>
  <c r="K423" i="15"/>
  <c r="K422" i="15"/>
  <c r="K421" i="15"/>
  <c r="K420" i="15"/>
  <c r="J419" i="15"/>
  <c r="J418" i="15"/>
  <c r="K417" i="15"/>
  <c r="J417" i="15"/>
  <c r="I419" i="15" s="1"/>
  <c r="K419" i="15" s="1"/>
  <c r="K416" i="15"/>
  <c r="J416" i="15"/>
  <c r="I418" i="15" s="1"/>
  <c r="K418" i="15" s="1"/>
  <c r="K415" i="15"/>
  <c r="J415" i="15"/>
  <c r="K414" i="15"/>
  <c r="J414" i="15"/>
  <c r="K413" i="15"/>
  <c r="J413" i="15"/>
  <c r="K412" i="15"/>
  <c r="J412" i="15"/>
  <c r="I411" i="15"/>
  <c r="K411" i="15" s="1"/>
  <c r="I410" i="15"/>
  <c r="K410" i="15" s="1"/>
  <c r="I409" i="15"/>
  <c r="K409" i="15" s="1"/>
  <c r="K408" i="15"/>
  <c r="K407" i="15"/>
  <c r="K406" i="15"/>
  <c r="K405" i="15"/>
  <c r="K404" i="15"/>
  <c r="K403" i="15"/>
  <c r="K402" i="15"/>
  <c r="J402" i="15"/>
  <c r="K401" i="15"/>
  <c r="J401" i="15"/>
  <c r="K400" i="15"/>
  <c r="K399" i="15"/>
  <c r="K398" i="15"/>
  <c r="K397" i="15"/>
  <c r="K396" i="15"/>
  <c r="K395" i="15"/>
  <c r="K394" i="15"/>
  <c r="J394" i="15"/>
  <c r="J392" i="15" s="1"/>
  <c r="K393" i="15"/>
  <c r="J393" i="15"/>
  <c r="I392" i="15"/>
  <c r="I391" i="15"/>
  <c r="I390" i="15"/>
  <c r="K389" i="15"/>
  <c r="K388" i="15"/>
  <c r="K387" i="15"/>
  <c r="K386" i="15"/>
  <c r="K385" i="15"/>
  <c r="K384" i="15"/>
  <c r="K383" i="15"/>
  <c r="J383" i="15"/>
  <c r="K382" i="15"/>
  <c r="J382" i="15"/>
  <c r="J376" i="15" s="1"/>
  <c r="J359" i="15" s="1"/>
  <c r="J350" i="15" s="1"/>
  <c r="K381" i="15"/>
  <c r="K380" i="15"/>
  <c r="K379" i="15"/>
  <c r="K378" i="15"/>
  <c r="J377" i="15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J360" i="15"/>
  <c r="I359" i="15"/>
  <c r="M354" i="15"/>
  <c r="L354" i="15"/>
  <c r="N354" i="15" s="1"/>
  <c r="L353" i="15"/>
  <c r="L352" i="15" s="1"/>
  <c r="L350" i="15" s="1"/>
  <c r="M352" i="15"/>
  <c r="M350" i="15" s="1"/>
  <c r="N351" i="15"/>
  <c r="I347" i="15"/>
  <c r="K347" i="15" s="1"/>
  <c r="I346" i="15"/>
  <c r="K346" i="15" s="1"/>
  <c r="I345" i="15"/>
  <c r="K345" i="15" s="1"/>
  <c r="J344" i="15"/>
  <c r="J330" i="15" s="1"/>
  <c r="M334" i="15"/>
  <c r="M332" i="15" s="1"/>
  <c r="M330" i="15" s="1"/>
  <c r="L334" i="15"/>
  <c r="L333" i="15"/>
  <c r="N331" i="15"/>
  <c r="I327" i="15"/>
  <c r="K327" i="15" s="1"/>
  <c r="I326" i="15"/>
  <c r="I324" i="15"/>
  <c r="K324" i="15" s="1"/>
  <c r="I323" i="15"/>
  <c r="I322" i="15"/>
  <c r="I321" i="15"/>
  <c r="I320" i="15"/>
  <c r="K320" i="15" s="1"/>
  <c r="I319" i="15"/>
  <c r="K319" i="15" s="1"/>
  <c r="I318" i="15"/>
  <c r="K318" i="15" s="1"/>
  <c r="I317" i="15"/>
  <c r="K317" i="15" s="1"/>
  <c r="I316" i="15"/>
  <c r="K316" i="15" s="1"/>
  <c r="I315" i="15"/>
  <c r="K315" i="15" s="1"/>
  <c r="I314" i="15"/>
  <c r="I313" i="15"/>
  <c r="K313" i="15" s="1"/>
  <c r="I312" i="15"/>
  <c r="M301" i="15"/>
  <c r="L301" i="15"/>
  <c r="L300" i="15"/>
  <c r="N298" i="15"/>
  <c r="J296" i="15"/>
  <c r="I293" i="15"/>
  <c r="K293" i="15" s="1"/>
  <c r="I292" i="15"/>
  <c r="I291" i="15"/>
  <c r="M280" i="15"/>
  <c r="M278" i="15" s="1"/>
  <c r="L280" i="15"/>
  <c r="N280" i="15" s="1"/>
  <c r="L279" i="15"/>
  <c r="N277" i="15"/>
  <c r="J276" i="15"/>
  <c r="M275" i="15"/>
  <c r="J275" i="15"/>
  <c r="I272" i="15"/>
  <c r="K272" i="15" s="1"/>
  <c r="I271" i="15"/>
  <c r="J270" i="15"/>
  <c r="I268" i="15"/>
  <c r="K268" i="15" s="1"/>
  <c r="I266" i="15"/>
  <c r="I264" i="15"/>
  <c r="K264" i="15" s="1"/>
  <c r="J263" i="15"/>
  <c r="J245" i="15" s="1"/>
  <c r="I263" i="15"/>
  <c r="K263" i="15" s="1"/>
  <c r="J262" i="15"/>
  <c r="I260" i="15"/>
  <c r="K260" i="15" s="1"/>
  <c r="J259" i="15"/>
  <c r="M249" i="15"/>
  <c r="M247" i="15" s="1"/>
  <c r="L249" i="15"/>
  <c r="N249" i="15" s="1"/>
  <c r="L248" i="15"/>
  <c r="N246" i="15"/>
  <c r="M244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J235" i="15"/>
  <c r="I235" i="15"/>
  <c r="K234" i="15"/>
  <c r="J234" i="15"/>
  <c r="L232" i="15"/>
  <c r="N232" i="15" s="1"/>
  <c r="L231" i="15"/>
  <c r="M230" i="15"/>
  <c r="N229" i="15"/>
  <c r="M228" i="15"/>
  <c r="I224" i="15"/>
  <c r="L218" i="15"/>
  <c r="N218" i="15" s="1"/>
  <c r="N217" i="15"/>
  <c r="M216" i="15"/>
  <c r="N215" i="15"/>
  <c r="M214" i="15"/>
  <c r="J214" i="15"/>
  <c r="I211" i="15"/>
  <c r="K211" i="15" s="1"/>
  <c r="I209" i="15"/>
  <c r="L203" i="15"/>
  <c r="N202" i="15"/>
  <c r="M201" i="15"/>
  <c r="N200" i="15"/>
  <c r="M199" i="15"/>
  <c r="J199" i="15"/>
  <c r="I195" i="15"/>
  <c r="I185" i="15" s="1"/>
  <c r="K185" i="15" s="1"/>
  <c r="L189" i="15"/>
  <c r="N189" i="15" s="1"/>
  <c r="L188" i="15"/>
  <c r="N188" i="15" s="1"/>
  <c r="M187" i="15"/>
  <c r="N186" i="15"/>
  <c r="M185" i="15"/>
  <c r="J185" i="15"/>
  <c r="I182" i="15"/>
  <c r="K182" i="15" s="1"/>
  <c r="I181" i="15"/>
  <c r="K181" i="15" s="1"/>
  <c r="I180" i="15"/>
  <c r="I179" i="15"/>
  <c r="K179" i="15" s="1"/>
  <c r="L173" i="15"/>
  <c r="N173" i="15" s="1"/>
  <c r="L172" i="15"/>
  <c r="M171" i="15"/>
  <c r="M169" i="15" s="1"/>
  <c r="N170" i="15"/>
  <c r="J169" i="15"/>
  <c r="K164" i="15"/>
  <c r="J158" i="15"/>
  <c r="I158" i="15"/>
  <c r="K158" i="15" s="1"/>
  <c r="I155" i="15"/>
  <c r="J149" i="15"/>
  <c r="L148" i="15"/>
  <c r="N148" i="15" s="1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M131" i="15"/>
  <c r="N130" i="15"/>
  <c r="M129" i="15"/>
  <c r="J129" i="15"/>
  <c r="J68" i="15" s="1"/>
  <c r="L126" i="15"/>
  <c r="N126" i="15" s="1"/>
  <c r="I126" i="15"/>
  <c r="K126" i="15" s="1"/>
  <c r="L125" i="15"/>
  <c r="N125" i="15" s="1"/>
  <c r="I125" i="15"/>
  <c r="I124" i="15"/>
  <c r="K124" i="15" s="1"/>
  <c r="L117" i="15"/>
  <c r="L116" i="15" s="1"/>
  <c r="M116" i="15"/>
  <c r="N115" i="15"/>
  <c r="M114" i="15"/>
  <c r="J114" i="15"/>
  <c r="L111" i="15"/>
  <c r="N111" i="15" s="1"/>
  <c r="I111" i="15"/>
  <c r="L110" i="15"/>
  <c r="N110" i="15" s="1"/>
  <c r="I110" i="15"/>
  <c r="K110" i="15" s="1"/>
  <c r="L104" i="15"/>
  <c r="M103" i="15"/>
  <c r="N102" i="15"/>
  <c r="M101" i="15"/>
  <c r="J101" i="15"/>
  <c r="L98" i="15"/>
  <c r="N98" i="15" s="1"/>
  <c r="I98" i="15"/>
  <c r="L92" i="15"/>
  <c r="M91" i="15"/>
  <c r="N90" i="15"/>
  <c r="M89" i="15"/>
  <c r="J89" i="15"/>
  <c r="J84" i="15"/>
  <c r="I83" i="15"/>
  <c r="L77" i="15"/>
  <c r="N77" i="15" s="1"/>
  <c r="M76" i="15"/>
  <c r="M74" i="15" s="1"/>
  <c r="N75" i="15"/>
  <c r="J74" i="15"/>
  <c r="M73" i="15"/>
  <c r="M71" i="15" s="1"/>
  <c r="M68" i="15" s="1"/>
  <c r="L72" i="15"/>
  <c r="N72" i="15" s="1"/>
  <c r="N70" i="15"/>
  <c r="I62" i="15"/>
  <c r="L56" i="15"/>
  <c r="N56" i="15" s="1"/>
  <c r="L55" i="15"/>
  <c r="M54" i="15"/>
  <c r="N53" i="15"/>
  <c r="M52" i="15"/>
  <c r="J52" i="15"/>
  <c r="I48" i="15"/>
  <c r="I47" i="15"/>
  <c r="K47" i="15" s="1"/>
  <c r="I46" i="15"/>
  <c r="K46" i="15" s="1"/>
  <c r="I45" i="15"/>
  <c r="K45" i="15" s="1"/>
  <c r="I44" i="15"/>
  <c r="I43" i="15"/>
  <c r="K43" i="15" s="1"/>
  <c r="L37" i="15"/>
  <c r="N37" i="15" s="1"/>
  <c r="L36" i="15"/>
  <c r="N36" i="15" s="1"/>
  <c r="M35" i="15"/>
  <c r="L35" i="15"/>
  <c r="N34" i="15"/>
  <c r="J33" i="15"/>
  <c r="M32" i="15"/>
  <c r="J32" i="15"/>
  <c r="I28" i="15"/>
  <c r="K28" i="15" s="1"/>
  <c r="I27" i="15"/>
  <c r="K27" i="15" s="1"/>
  <c r="I26" i="15"/>
  <c r="K26" i="15" s="1"/>
  <c r="I25" i="15"/>
  <c r="K25" i="15" s="1"/>
  <c r="I24" i="15"/>
  <c r="K24" i="15" s="1"/>
  <c r="I23" i="15"/>
  <c r="K23" i="15" s="1"/>
  <c r="I22" i="15"/>
  <c r="K22" i="15" s="1"/>
  <c r="J21" i="15"/>
  <c r="J20" i="15"/>
  <c r="J9" i="15" s="1"/>
  <c r="L14" i="15"/>
  <c r="N14" i="15" s="1"/>
  <c r="L13" i="15"/>
  <c r="N13" i="15" s="1"/>
  <c r="M12" i="15"/>
  <c r="M9" i="15" s="1"/>
  <c r="M6" i="15" s="1"/>
  <c r="L12" i="15"/>
  <c r="N11" i="15"/>
  <c r="J10" i="15"/>
  <c r="J528" i="14"/>
  <c r="I528" i="14"/>
  <c r="J527" i="14"/>
  <c r="I527" i="14"/>
  <c r="J526" i="14"/>
  <c r="I526" i="14"/>
  <c r="K526" i="14" s="1"/>
  <c r="J525" i="14"/>
  <c r="I525" i="14"/>
  <c r="K525" i="14" s="1"/>
  <c r="J524" i="14"/>
  <c r="I524" i="14"/>
  <c r="J523" i="14"/>
  <c r="I523" i="14"/>
  <c r="J522" i="14"/>
  <c r="I522" i="14"/>
  <c r="J521" i="14"/>
  <c r="I521" i="14"/>
  <c r="J517" i="14"/>
  <c r="I517" i="14"/>
  <c r="J514" i="14"/>
  <c r="I514" i="14"/>
  <c r="J513" i="14"/>
  <c r="I513" i="14"/>
  <c r="J510" i="14"/>
  <c r="I510" i="14"/>
  <c r="J504" i="14"/>
  <c r="J490" i="14" s="1"/>
  <c r="I504" i="14"/>
  <c r="K508" i="14" s="1"/>
  <c r="M494" i="14"/>
  <c r="L494" i="14"/>
  <c r="N494" i="14" s="1"/>
  <c r="L493" i="14"/>
  <c r="M492" i="14"/>
  <c r="M490" i="14" s="1"/>
  <c r="N491" i="14"/>
  <c r="K489" i="14"/>
  <c r="J489" i="14"/>
  <c r="J488" i="14"/>
  <c r="J473" i="14" s="1"/>
  <c r="I488" i="14"/>
  <c r="K488" i="14" s="1"/>
  <c r="K487" i="14"/>
  <c r="J487" i="14"/>
  <c r="J486" i="14"/>
  <c r="I486" i="14"/>
  <c r="K486" i="14" s="1"/>
  <c r="K485" i="14"/>
  <c r="J485" i="14"/>
  <c r="J484" i="14"/>
  <c r="I484" i="14"/>
  <c r="K483" i="14"/>
  <c r="J483" i="14"/>
  <c r="J482" i="14"/>
  <c r="I482" i="14"/>
  <c r="K482" i="14" s="1"/>
  <c r="M477" i="14"/>
  <c r="L477" i="14"/>
  <c r="N477" i="14" s="1"/>
  <c r="L476" i="14"/>
  <c r="M475" i="14"/>
  <c r="M473" i="14" s="1"/>
  <c r="N474" i="14"/>
  <c r="K472" i="14"/>
  <c r="K471" i="14"/>
  <c r="K470" i="14"/>
  <c r="K469" i="14"/>
  <c r="K468" i="14"/>
  <c r="J466" i="14"/>
  <c r="I466" i="14"/>
  <c r="M461" i="14"/>
  <c r="L461" i="14"/>
  <c r="L460" i="14"/>
  <c r="N460" i="14" s="1"/>
  <c r="N458" i="14"/>
  <c r="J457" i="14"/>
  <c r="I456" i="14"/>
  <c r="K456" i="14" s="1"/>
  <c r="I455" i="14"/>
  <c r="I454" i="14"/>
  <c r="K454" i="14" s="1"/>
  <c r="I453" i="14"/>
  <c r="K453" i="14" s="1"/>
  <c r="M448" i="14"/>
  <c r="L448" i="14"/>
  <c r="L447" i="14"/>
  <c r="N447" i="14" s="1"/>
  <c r="M446" i="14"/>
  <c r="M444" i="14" s="1"/>
  <c r="N445" i="14"/>
  <c r="J444" i="14"/>
  <c r="I441" i="14"/>
  <c r="K441" i="14" s="1"/>
  <c r="I440" i="14"/>
  <c r="M430" i="14"/>
  <c r="L430" i="14"/>
  <c r="L429" i="14"/>
  <c r="N429" i="14" s="1"/>
  <c r="N427" i="14"/>
  <c r="J426" i="14"/>
  <c r="K425" i="14"/>
  <c r="K424" i="14"/>
  <c r="K423" i="14"/>
  <c r="K422" i="14"/>
  <c r="K421" i="14"/>
  <c r="K420" i="14"/>
  <c r="J419" i="14"/>
  <c r="J418" i="14"/>
  <c r="K417" i="14"/>
  <c r="J417" i="14"/>
  <c r="I419" i="14" s="1"/>
  <c r="K419" i="14" s="1"/>
  <c r="K416" i="14"/>
  <c r="J416" i="14"/>
  <c r="I418" i="14" s="1"/>
  <c r="K418" i="14" s="1"/>
  <c r="K415" i="14"/>
  <c r="J415" i="14"/>
  <c r="K414" i="14"/>
  <c r="J414" i="14"/>
  <c r="K413" i="14"/>
  <c r="J413" i="14"/>
  <c r="K412" i="14"/>
  <c r="J412" i="14"/>
  <c r="I411" i="14"/>
  <c r="K411" i="14" s="1"/>
  <c r="I410" i="14"/>
  <c r="K410" i="14" s="1"/>
  <c r="I409" i="14"/>
  <c r="K409" i="14" s="1"/>
  <c r="K408" i="14"/>
  <c r="K407" i="14"/>
  <c r="K406" i="14"/>
  <c r="K405" i="14"/>
  <c r="K404" i="14"/>
  <c r="K403" i="14"/>
  <c r="K402" i="14"/>
  <c r="J402" i="14"/>
  <c r="J392" i="14" s="1"/>
  <c r="K401" i="14"/>
  <c r="J401" i="14"/>
  <c r="K400" i="14"/>
  <c r="K399" i="14"/>
  <c r="K398" i="14"/>
  <c r="K397" i="14"/>
  <c r="K396" i="14"/>
  <c r="K395" i="14"/>
  <c r="K394" i="14"/>
  <c r="J394" i="14"/>
  <c r="K393" i="14"/>
  <c r="J393" i="14"/>
  <c r="I392" i="14"/>
  <c r="J391" i="14"/>
  <c r="I391" i="14"/>
  <c r="K391" i="14" s="1"/>
  <c r="J390" i="14"/>
  <c r="I390" i="14"/>
  <c r="K390" i="14" s="1"/>
  <c r="K389" i="14"/>
  <c r="K388" i="14"/>
  <c r="K387" i="14"/>
  <c r="K386" i="14"/>
  <c r="K385" i="14"/>
  <c r="K384" i="14"/>
  <c r="K383" i="14"/>
  <c r="J383" i="14"/>
  <c r="K382" i="14"/>
  <c r="J382" i="14"/>
  <c r="K381" i="14"/>
  <c r="K380" i="14"/>
  <c r="K379" i="14"/>
  <c r="K378" i="14"/>
  <c r="J377" i="14"/>
  <c r="J376" i="14"/>
  <c r="J359" i="14" s="1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J360" i="14"/>
  <c r="I359" i="14"/>
  <c r="M354" i="14"/>
  <c r="M352" i="14" s="1"/>
  <c r="M350" i="14" s="1"/>
  <c r="L354" i="14"/>
  <c r="N354" i="14" s="1"/>
  <c r="L353" i="14"/>
  <c r="N351" i="14"/>
  <c r="J350" i="14"/>
  <c r="I347" i="14"/>
  <c r="K347" i="14" s="1"/>
  <c r="I346" i="14"/>
  <c r="K346" i="14" s="1"/>
  <c r="I345" i="14"/>
  <c r="J344" i="14"/>
  <c r="M334" i="14"/>
  <c r="M332" i="14" s="1"/>
  <c r="M330" i="14" s="1"/>
  <c r="L334" i="14"/>
  <c r="N334" i="14" s="1"/>
  <c r="L333" i="14"/>
  <c r="N331" i="14"/>
  <c r="J330" i="14"/>
  <c r="I327" i="14"/>
  <c r="K327" i="14" s="1"/>
  <c r="I326" i="14"/>
  <c r="I324" i="14"/>
  <c r="I323" i="14"/>
  <c r="K323" i="14" s="1"/>
  <c r="I322" i="14"/>
  <c r="K322" i="14" s="1"/>
  <c r="I321" i="14"/>
  <c r="I320" i="14"/>
  <c r="I319" i="14"/>
  <c r="K319" i="14" s="1"/>
  <c r="I318" i="14"/>
  <c r="K318" i="14" s="1"/>
  <c r="I317" i="14"/>
  <c r="K317" i="14" s="1"/>
  <c r="I316" i="14"/>
  <c r="I315" i="14"/>
  <c r="K315" i="14" s="1"/>
  <c r="I314" i="14"/>
  <c r="I313" i="14"/>
  <c r="I312" i="14"/>
  <c r="M301" i="14"/>
  <c r="L301" i="14"/>
  <c r="L300" i="14"/>
  <c r="N300" i="14" s="1"/>
  <c r="M299" i="14"/>
  <c r="M296" i="14" s="1"/>
  <c r="N298" i="14"/>
  <c r="J296" i="14"/>
  <c r="I293" i="14"/>
  <c r="K293" i="14" s="1"/>
  <c r="I292" i="14"/>
  <c r="I291" i="14"/>
  <c r="M280" i="14"/>
  <c r="M278" i="14" s="1"/>
  <c r="L280" i="14"/>
  <c r="L279" i="14"/>
  <c r="N279" i="14" s="1"/>
  <c r="N277" i="14"/>
  <c r="J276" i="14"/>
  <c r="M275" i="14"/>
  <c r="J275" i="14"/>
  <c r="I272" i="14"/>
  <c r="K272" i="14" s="1"/>
  <c r="I271" i="14"/>
  <c r="J270" i="14"/>
  <c r="J244" i="14" s="1"/>
  <c r="I268" i="14"/>
  <c r="K268" i="14" s="1"/>
  <c r="I266" i="14"/>
  <c r="K266" i="14" s="1"/>
  <c r="I264" i="14"/>
  <c r="K264" i="14" s="1"/>
  <c r="J263" i="14"/>
  <c r="I263" i="14"/>
  <c r="J262" i="14"/>
  <c r="I260" i="14"/>
  <c r="K260" i="14" s="1"/>
  <c r="M249" i="14"/>
  <c r="M247" i="14" s="1"/>
  <c r="L249" i="14"/>
  <c r="L248" i="14"/>
  <c r="N246" i="14"/>
  <c r="M244" i="14"/>
  <c r="K241" i="14"/>
  <c r="J241" i="14"/>
  <c r="J240" i="14"/>
  <c r="J228" i="14" s="1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M230" i="14"/>
  <c r="M228" i="14" s="1"/>
  <c r="N229" i="14"/>
  <c r="I224" i="14"/>
  <c r="K224" i="14" s="1"/>
  <c r="L218" i="14"/>
  <c r="N217" i="14"/>
  <c r="M216" i="14"/>
  <c r="N215" i="14"/>
  <c r="M214" i="14"/>
  <c r="J214" i="14"/>
  <c r="I211" i="14"/>
  <c r="K211" i="14" s="1"/>
  <c r="I209" i="14"/>
  <c r="I199" i="14" s="1"/>
  <c r="K199" i="14" s="1"/>
  <c r="L203" i="14"/>
  <c r="N202" i="14"/>
  <c r="M201" i="14"/>
  <c r="N200" i="14"/>
  <c r="M199" i="14"/>
  <c r="J199" i="14"/>
  <c r="I195" i="14"/>
  <c r="L189" i="14"/>
  <c r="N189" i="14" s="1"/>
  <c r="L188" i="14"/>
  <c r="M187" i="14"/>
  <c r="M185" i="14" s="1"/>
  <c r="N186" i="14"/>
  <c r="J185" i="14"/>
  <c r="I182" i="14"/>
  <c r="K182" i="14" s="1"/>
  <c r="I181" i="14"/>
  <c r="K181" i="14" s="1"/>
  <c r="I180" i="14"/>
  <c r="I179" i="14"/>
  <c r="K179" i="14" s="1"/>
  <c r="L173" i="14"/>
  <c r="N173" i="14" s="1"/>
  <c r="L172" i="14"/>
  <c r="N172" i="14" s="1"/>
  <c r="M171" i="14"/>
  <c r="M169" i="14" s="1"/>
  <c r="N170" i="14"/>
  <c r="J169" i="14"/>
  <c r="K164" i="14"/>
  <c r="K158" i="14"/>
  <c r="J158" i="14"/>
  <c r="I158" i="14"/>
  <c r="I155" i="14"/>
  <c r="J149" i="14"/>
  <c r="J144" i="14" s="1"/>
  <c r="L148" i="14"/>
  <c r="N147" i="14"/>
  <c r="M146" i="14"/>
  <c r="N145" i="14"/>
  <c r="M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I129" i="14" s="1"/>
  <c r="K129" i="14" s="1"/>
  <c r="L132" i="14"/>
  <c r="M131" i="14"/>
  <c r="M129" i="14" s="1"/>
  <c r="N130" i="14"/>
  <c r="J129" i="14"/>
  <c r="L126" i="14"/>
  <c r="N126" i="14" s="1"/>
  <c r="I126" i="14"/>
  <c r="L125" i="14"/>
  <c r="N125" i="14" s="1"/>
  <c r="I125" i="14"/>
  <c r="I124" i="14"/>
  <c r="K124" i="14" s="1"/>
  <c r="L117" i="14"/>
  <c r="L116" i="14" s="1"/>
  <c r="L114" i="14" s="1"/>
  <c r="N114" i="14" s="1"/>
  <c r="M116" i="14"/>
  <c r="M114" i="14" s="1"/>
  <c r="N115" i="14"/>
  <c r="J114" i="14"/>
  <c r="L111" i="14"/>
  <c r="N111" i="14" s="1"/>
  <c r="I111" i="14"/>
  <c r="L110" i="14"/>
  <c r="N110" i="14" s="1"/>
  <c r="I110" i="14"/>
  <c r="K110" i="14" s="1"/>
  <c r="L104" i="14"/>
  <c r="M103" i="14"/>
  <c r="M101" i="14" s="1"/>
  <c r="N102" i="14"/>
  <c r="J101" i="14"/>
  <c r="L98" i="14"/>
  <c r="N98" i="14" s="1"/>
  <c r="I98" i="14"/>
  <c r="L92" i="14"/>
  <c r="M91" i="14"/>
  <c r="N90" i="14"/>
  <c r="M89" i="14"/>
  <c r="J89" i="14"/>
  <c r="J84" i="14"/>
  <c r="I83" i="14"/>
  <c r="L77" i="14"/>
  <c r="M76" i="14"/>
  <c r="N75" i="14"/>
  <c r="M74" i="14"/>
  <c r="J74" i="14"/>
  <c r="M73" i="14"/>
  <c r="L72" i="14"/>
  <c r="M71" i="14"/>
  <c r="M68" i="14" s="1"/>
  <c r="N70" i="14"/>
  <c r="J68" i="14"/>
  <c r="I62" i="14"/>
  <c r="I52" i="14" s="1"/>
  <c r="K52" i="14" s="1"/>
  <c r="L56" i="14"/>
  <c r="N56" i="14" s="1"/>
  <c r="L55" i="14"/>
  <c r="M54" i="14"/>
  <c r="N53" i="14"/>
  <c r="M52" i="14"/>
  <c r="J52" i="14"/>
  <c r="I48" i="14"/>
  <c r="I47" i="14"/>
  <c r="K47" i="14" s="1"/>
  <c r="I46" i="14"/>
  <c r="K46" i="14" s="1"/>
  <c r="I45" i="14"/>
  <c r="K45" i="14" s="1"/>
  <c r="I44" i="14"/>
  <c r="I43" i="14"/>
  <c r="K43" i="14" s="1"/>
  <c r="L37" i="14"/>
  <c r="N37" i="14" s="1"/>
  <c r="L36" i="14"/>
  <c r="N36" i="14" s="1"/>
  <c r="M35" i="14"/>
  <c r="L35" i="14"/>
  <c r="N35" i="14" s="1"/>
  <c r="N34" i="14"/>
  <c r="J33" i="14"/>
  <c r="M32" i="14"/>
  <c r="J32" i="14"/>
  <c r="I28" i="14"/>
  <c r="K28" i="14" s="1"/>
  <c r="I27" i="14"/>
  <c r="I26" i="14"/>
  <c r="I25" i="14"/>
  <c r="K25" i="14" s="1"/>
  <c r="I24" i="14"/>
  <c r="K24" i="14" s="1"/>
  <c r="I23" i="14"/>
  <c r="K23" i="14" s="1"/>
  <c r="I22" i="14"/>
  <c r="K22" i="14" s="1"/>
  <c r="J21" i="14"/>
  <c r="J10" i="14" s="1"/>
  <c r="J20" i="14"/>
  <c r="L14" i="14"/>
  <c r="N14" i="14" s="1"/>
  <c r="L13" i="14"/>
  <c r="N13" i="14" s="1"/>
  <c r="M12" i="14"/>
  <c r="L12" i="14"/>
  <c r="N11" i="14"/>
  <c r="M9" i="14"/>
  <c r="J9" i="14"/>
  <c r="J528" i="13"/>
  <c r="I528" i="13"/>
  <c r="J527" i="13"/>
  <c r="I527" i="13"/>
  <c r="J526" i="13"/>
  <c r="I526" i="13"/>
  <c r="K526" i="13" s="1"/>
  <c r="J525" i="13"/>
  <c r="I525" i="13"/>
  <c r="K525" i="13" s="1"/>
  <c r="J524" i="13"/>
  <c r="I524" i="13"/>
  <c r="J523" i="13"/>
  <c r="I523" i="13"/>
  <c r="J522" i="13"/>
  <c r="I522" i="13"/>
  <c r="J521" i="13"/>
  <c r="I521" i="13"/>
  <c r="J517" i="13"/>
  <c r="I517" i="13"/>
  <c r="J514" i="13"/>
  <c r="J513" i="13" s="1"/>
  <c r="I514" i="13"/>
  <c r="I513" i="13"/>
  <c r="K516" i="13" s="1"/>
  <c r="J510" i="13"/>
  <c r="J504" i="13" s="1"/>
  <c r="J490" i="13" s="1"/>
  <c r="I510" i="13"/>
  <c r="I504" i="13"/>
  <c r="M494" i="13"/>
  <c r="L494" i="13"/>
  <c r="N494" i="13" s="1"/>
  <c r="L493" i="13"/>
  <c r="M492" i="13"/>
  <c r="N491" i="13"/>
  <c r="M490" i="13"/>
  <c r="K489" i="13"/>
  <c r="J489" i="13"/>
  <c r="J488" i="13"/>
  <c r="J473" i="13" s="1"/>
  <c r="I488" i="13"/>
  <c r="K488" i="13" s="1"/>
  <c r="K487" i="13"/>
  <c r="J487" i="13"/>
  <c r="J486" i="13"/>
  <c r="I486" i="13"/>
  <c r="K486" i="13" s="1"/>
  <c r="K485" i="13"/>
  <c r="J485" i="13"/>
  <c r="J484" i="13"/>
  <c r="I484" i="13"/>
  <c r="I473" i="13" s="1"/>
  <c r="K473" i="13" s="1"/>
  <c r="K483" i="13"/>
  <c r="J483" i="13"/>
  <c r="J482" i="13"/>
  <c r="I482" i="13"/>
  <c r="K482" i="13" s="1"/>
  <c r="M477" i="13"/>
  <c r="M475" i="13" s="1"/>
  <c r="M473" i="13" s="1"/>
  <c r="L477" i="13"/>
  <c r="N477" i="13" s="1"/>
  <c r="L476" i="13"/>
  <c r="N474" i="13"/>
  <c r="K472" i="13"/>
  <c r="K471" i="13"/>
  <c r="K470" i="13"/>
  <c r="K469" i="13"/>
  <c r="K468" i="13"/>
  <c r="J466" i="13"/>
  <c r="I466" i="13"/>
  <c r="M461" i="13"/>
  <c r="L461" i="13"/>
  <c r="L460" i="13"/>
  <c r="M459" i="13"/>
  <c r="M457" i="13" s="1"/>
  <c r="N458" i="13"/>
  <c r="J457" i="13"/>
  <c r="I456" i="13"/>
  <c r="K456" i="13" s="1"/>
  <c r="I455" i="13"/>
  <c r="K455" i="13" s="1"/>
  <c r="I454" i="13"/>
  <c r="K454" i="13" s="1"/>
  <c r="I453" i="13"/>
  <c r="M448" i="13"/>
  <c r="L448" i="13"/>
  <c r="N448" i="13" s="1"/>
  <c r="L447" i="13"/>
  <c r="M446" i="13"/>
  <c r="N445" i="13"/>
  <c r="M444" i="13"/>
  <c r="J444" i="13"/>
  <c r="I441" i="13"/>
  <c r="K441" i="13" s="1"/>
  <c r="I440" i="13"/>
  <c r="K440" i="13" s="1"/>
  <c r="M430" i="13"/>
  <c r="L430" i="13"/>
  <c r="N430" i="13" s="1"/>
  <c r="L429" i="13"/>
  <c r="M428" i="13"/>
  <c r="N427" i="13"/>
  <c r="M426" i="13"/>
  <c r="J426" i="13"/>
  <c r="K425" i="13"/>
  <c r="K424" i="13"/>
  <c r="K423" i="13"/>
  <c r="K422" i="13"/>
  <c r="K421" i="13"/>
  <c r="K420" i="13"/>
  <c r="J419" i="13"/>
  <c r="J418" i="13"/>
  <c r="K417" i="13"/>
  <c r="J417" i="13"/>
  <c r="I419" i="13" s="1"/>
  <c r="K419" i="13" s="1"/>
  <c r="K416" i="13"/>
  <c r="J416" i="13"/>
  <c r="I418" i="13" s="1"/>
  <c r="K418" i="13" s="1"/>
  <c r="K415" i="13"/>
  <c r="J415" i="13"/>
  <c r="K414" i="13"/>
  <c r="J414" i="13"/>
  <c r="K413" i="13"/>
  <c r="J413" i="13"/>
  <c r="K412" i="13"/>
  <c r="J412" i="13"/>
  <c r="I411" i="13"/>
  <c r="K411" i="13" s="1"/>
  <c r="I410" i="13"/>
  <c r="K410" i="13" s="1"/>
  <c r="I409" i="13"/>
  <c r="K409" i="13" s="1"/>
  <c r="K408" i="13"/>
  <c r="K407" i="13"/>
  <c r="K406" i="13"/>
  <c r="K405" i="13"/>
  <c r="K404" i="13"/>
  <c r="K403" i="13"/>
  <c r="K402" i="13"/>
  <c r="J402" i="13"/>
  <c r="J392" i="13" s="1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I392" i="13"/>
  <c r="K392" i="13" s="1"/>
  <c r="J391" i="13"/>
  <c r="I391" i="13"/>
  <c r="K391" i="13" s="1"/>
  <c r="J390" i="13"/>
  <c r="I390" i="13"/>
  <c r="K390" i="13" s="1"/>
  <c r="K389" i="13"/>
  <c r="K388" i="13"/>
  <c r="K387" i="13"/>
  <c r="K386" i="13"/>
  <c r="K385" i="13"/>
  <c r="K384" i="13"/>
  <c r="K383" i="13"/>
  <c r="J383" i="13"/>
  <c r="K382" i="13"/>
  <c r="J382" i="13"/>
  <c r="K381" i="13"/>
  <c r="K380" i="13"/>
  <c r="K379" i="13"/>
  <c r="K378" i="13"/>
  <c r="J377" i="13"/>
  <c r="J376" i="13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J360" i="13"/>
  <c r="J359" i="13"/>
  <c r="J350" i="13" s="1"/>
  <c r="I359" i="13"/>
  <c r="M354" i="13"/>
  <c r="L354" i="13"/>
  <c r="N354" i="13" s="1"/>
  <c r="L353" i="13"/>
  <c r="M352" i="13"/>
  <c r="M350" i="13" s="1"/>
  <c r="N351" i="13"/>
  <c r="I347" i="13"/>
  <c r="K347" i="13" s="1"/>
  <c r="I346" i="13"/>
  <c r="K346" i="13" s="1"/>
  <c r="I345" i="13"/>
  <c r="J344" i="13"/>
  <c r="J330" i="13" s="1"/>
  <c r="M334" i="13"/>
  <c r="L334" i="13"/>
  <c r="N334" i="13" s="1"/>
  <c r="L333" i="13"/>
  <c r="M332" i="13"/>
  <c r="M330" i="13" s="1"/>
  <c r="N331" i="13"/>
  <c r="I327" i="13"/>
  <c r="K327" i="13" s="1"/>
  <c r="I326" i="13"/>
  <c r="I324" i="13"/>
  <c r="I323" i="13"/>
  <c r="K323" i="13" s="1"/>
  <c r="I322" i="13"/>
  <c r="K322" i="13" s="1"/>
  <c r="I321" i="13"/>
  <c r="I320" i="13"/>
  <c r="K320" i="13" s="1"/>
  <c r="I319" i="13"/>
  <c r="K319" i="13" s="1"/>
  <c r="I318" i="13"/>
  <c r="I317" i="13"/>
  <c r="I316" i="13"/>
  <c r="K316" i="13" s="1"/>
  <c r="I315" i="13"/>
  <c r="I314" i="13"/>
  <c r="K314" i="13" s="1"/>
  <c r="I313" i="13"/>
  <c r="K313" i="13" s="1"/>
  <c r="I312" i="13"/>
  <c r="M301" i="13"/>
  <c r="M299" i="13" s="1"/>
  <c r="L301" i="13"/>
  <c r="L300" i="13"/>
  <c r="N298" i="13"/>
  <c r="M296" i="13"/>
  <c r="J296" i="13"/>
  <c r="I293" i="13"/>
  <c r="K293" i="13" s="1"/>
  <c r="I292" i="13"/>
  <c r="K292" i="13" s="1"/>
  <c r="I291" i="13"/>
  <c r="K291" i="13" s="1"/>
  <c r="M280" i="13"/>
  <c r="L280" i="13"/>
  <c r="L279" i="13"/>
  <c r="M278" i="13"/>
  <c r="M275" i="13" s="1"/>
  <c r="N277" i="13"/>
  <c r="J276" i="13"/>
  <c r="J275" i="13"/>
  <c r="I272" i="13"/>
  <c r="K272" i="13" s="1"/>
  <c r="I271" i="13"/>
  <c r="J270" i="13"/>
  <c r="J244" i="13" s="1"/>
  <c r="I268" i="13"/>
  <c r="K268" i="13" s="1"/>
  <c r="I266" i="13"/>
  <c r="K266" i="13" s="1"/>
  <c r="I264" i="13"/>
  <c r="J263" i="13"/>
  <c r="J245" i="13" s="1"/>
  <c r="I263" i="13"/>
  <c r="K263" i="13" s="1"/>
  <c r="J262" i="13"/>
  <c r="I260" i="13"/>
  <c r="K260" i="13" s="1"/>
  <c r="J259" i="13"/>
  <c r="M249" i="13"/>
  <c r="M247" i="13" s="1"/>
  <c r="L249" i="13"/>
  <c r="N249" i="13" s="1"/>
  <c r="L248" i="13"/>
  <c r="N246" i="13"/>
  <c r="M244" i="13"/>
  <c r="K241" i="13"/>
  <c r="J241" i="13"/>
  <c r="J240" i="13"/>
  <c r="J228" i="13" s="1"/>
  <c r="I240" i="13"/>
  <c r="K239" i="13"/>
  <c r="J239" i="13"/>
  <c r="J238" i="13"/>
  <c r="I238" i="13"/>
  <c r="K237" i="13"/>
  <c r="J237" i="13"/>
  <c r="J236" i="13"/>
  <c r="I236" i="13"/>
  <c r="J235" i="13"/>
  <c r="I235" i="13"/>
  <c r="K234" i="13"/>
  <c r="J234" i="13"/>
  <c r="L232" i="13"/>
  <c r="N232" i="13" s="1"/>
  <c r="L231" i="13"/>
  <c r="M230" i="13"/>
  <c r="N229" i="13"/>
  <c r="M228" i="13"/>
  <c r="I224" i="13"/>
  <c r="L218" i="13"/>
  <c r="N218" i="13" s="1"/>
  <c r="L217" i="13"/>
  <c r="M216" i="13"/>
  <c r="N215" i="13"/>
  <c r="M214" i="13"/>
  <c r="J214" i="13"/>
  <c r="I211" i="13"/>
  <c r="K211" i="13" s="1"/>
  <c r="I209" i="13"/>
  <c r="L203" i="13"/>
  <c r="N203" i="13" s="1"/>
  <c r="L202" i="13"/>
  <c r="L202" i="1" s="1"/>
  <c r="N202" i="1" s="1"/>
  <c r="M201" i="13"/>
  <c r="N200" i="13"/>
  <c r="M199" i="13"/>
  <c r="J199" i="13"/>
  <c r="I195" i="13"/>
  <c r="L189" i="13"/>
  <c r="N189" i="13" s="1"/>
  <c r="L188" i="13"/>
  <c r="M187" i="13"/>
  <c r="N186" i="13"/>
  <c r="M185" i="13"/>
  <c r="J185" i="13"/>
  <c r="I182" i="13"/>
  <c r="K182" i="13" s="1"/>
  <c r="I181" i="13"/>
  <c r="K181" i="13" s="1"/>
  <c r="I180" i="13"/>
  <c r="I179" i="13"/>
  <c r="K179" i="13" s="1"/>
  <c r="L173" i="13"/>
  <c r="N173" i="13" s="1"/>
  <c r="L172" i="13"/>
  <c r="M171" i="13"/>
  <c r="N170" i="13"/>
  <c r="M169" i="13"/>
  <c r="J169" i="13"/>
  <c r="K164" i="13"/>
  <c r="K158" i="13"/>
  <c r="J158" i="13"/>
  <c r="I158" i="13"/>
  <c r="I155" i="13"/>
  <c r="J149" i="13"/>
  <c r="L148" i="13"/>
  <c r="N148" i="13" s="1"/>
  <c r="L147" i="13"/>
  <c r="L147" i="1" s="1"/>
  <c r="N147" i="1" s="1"/>
  <c r="M146" i="13"/>
  <c r="M144" i="13" s="1"/>
  <c r="N145" i="13"/>
  <c r="J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L132" i="13"/>
  <c r="M131" i="13"/>
  <c r="M129" i="13" s="1"/>
  <c r="N130" i="13"/>
  <c r="J129" i="13"/>
  <c r="L126" i="13"/>
  <c r="N126" i="13" s="1"/>
  <c r="I126" i="13"/>
  <c r="K126" i="13" s="1"/>
  <c r="L125" i="13"/>
  <c r="N125" i="13" s="1"/>
  <c r="I125" i="13"/>
  <c r="I124" i="13"/>
  <c r="K124" i="13" s="1"/>
  <c r="L117" i="13"/>
  <c r="M116" i="13"/>
  <c r="M114" i="13" s="1"/>
  <c r="N115" i="13"/>
  <c r="J114" i="13"/>
  <c r="L111" i="13"/>
  <c r="N111" i="13" s="1"/>
  <c r="I111" i="13"/>
  <c r="L110" i="13"/>
  <c r="N110" i="13" s="1"/>
  <c r="I110" i="13"/>
  <c r="K110" i="13" s="1"/>
  <c r="L104" i="13"/>
  <c r="M103" i="13"/>
  <c r="M101" i="13" s="1"/>
  <c r="N102" i="13"/>
  <c r="J101" i="13"/>
  <c r="L98" i="13"/>
  <c r="N98" i="13" s="1"/>
  <c r="I98" i="13"/>
  <c r="L92" i="13"/>
  <c r="M91" i="13"/>
  <c r="M89" i="13" s="1"/>
  <c r="N90" i="13"/>
  <c r="J89" i="13"/>
  <c r="J84" i="13"/>
  <c r="I83" i="13"/>
  <c r="L77" i="13"/>
  <c r="M76" i="13"/>
  <c r="N75" i="13"/>
  <c r="M74" i="13"/>
  <c r="J74" i="13"/>
  <c r="M73" i="13"/>
  <c r="L72" i="13"/>
  <c r="M71" i="13"/>
  <c r="M68" i="13" s="1"/>
  <c r="N70" i="13"/>
  <c r="J68" i="13"/>
  <c r="I62" i="13"/>
  <c r="I52" i="13" s="1"/>
  <c r="K52" i="13" s="1"/>
  <c r="L56" i="13"/>
  <c r="N56" i="13" s="1"/>
  <c r="L55" i="13"/>
  <c r="M54" i="13"/>
  <c r="M52" i="13" s="1"/>
  <c r="N53" i="13"/>
  <c r="J52" i="13"/>
  <c r="I48" i="13"/>
  <c r="I47" i="13"/>
  <c r="K47" i="13" s="1"/>
  <c r="I46" i="13"/>
  <c r="K46" i="13" s="1"/>
  <c r="I45" i="13"/>
  <c r="K45" i="13" s="1"/>
  <c r="I44" i="13"/>
  <c r="I32" i="13" s="1"/>
  <c r="K32" i="13" s="1"/>
  <c r="I43" i="13"/>
  <c r="K43" i="13" s="1"/>
  <c r="L37" i="13"/>
  <c r="N37" i="13" s="1"/>
  <c r="L36" i="13"/>
  <c r="N36" i="13" s="1"/>
  <c r="M35" i="13"/>
  <c r="L35" i="13"/>
  <c r="N35" i="13" s="1"/>
  <c r="N34" i="13"/>
  <c r="J33" i="13"/>
  <c r="M32" i="13"/>
  <c r="J32" i="13"/>
  <c r="I28" i="13"/>
  <c r="K28" i="13" s="1"/>
  <c r="I27" i="13"/>
  <c r="K27" i="13" s="1"/>
  <c r="I26" i="13"/>
  <c r="K26" i="13" s="1"/>
  <c r="I25" i="13"/>
  <c r="K25" i="13" s="1"/>
  <c r="I24" i="13"/>
  <c r="I23" i="13"/>
  <c r="I22" i="13"/>
  <c r="K22" i="13" s="1"/>
  <c r="J21" i="13"/>
  <c r="J10" i="13" s="1"/>
  <c r="J20" i="13"/>
  <c r="L14" i="13"/>
  <c r="N14" i="13" s="1"/>
  <c r="L13" i="13"/>
  <c r="N13" i="13" s="1"/>
  <c r="M12" i="13"/>
  <c r="L12" i="13"/>
  <c r="N11" i="13"/>
  <c r="M9" i="13"/>
  <c r="J9" i="13"/>
  <c r="J528" i="12"/>
  <c r="I528" i="12"/>
  <c r="J527" i="12"/>
  <c r="I527" i="12"/>
  <c r="J526" i="12"/>
  <c r="I526" i="12"/>
  <c r="K526" i="12" s="1"/>
  <c r="J525" i="12"/>
  <c r="I525" i="12"/>
  <c r="K525" i="12" s="1"/>
  <c r="J524" i="12"/>
  <c r="I524" i="12"/>
  <c r="J523" i="12"/>
  <c r="I523" i="12"/>
  <c r="J522" i="12"/>
  <c r="I522" i="12"/>
  <c r="J521" i="12"/>
  <c r="I521" i="12"/>
  <c r="J517" i="12"/>
  <c r="I517" i="12"/>
  <c r="J514" i="12"/>
  <c r="I514" i="12"/>
  <c r="J513" i="12"/>
  <c r="I513" i="12"/>
  <c r="K516" i="12" s="1"/>
  <c r="J510" i="12"/>
  <c r="J504" i="12" s="1"/>
  <c r="J490" i="12" s="1"/>
  <c r="I510" i="12"/>
  <c r="I504" i="12"/>
  <c r="K507" i="12" s="1"/>
  <c r="M494" i="12"/>
  <c r="L494" i="12"/>
  <c r="N494" i="12" s="1"/>
  <c r="L493" i="12"/>
  <c r="M492" i="12"/>
  <c r="N491" i="12"/>
  <c r="M490" i="12"/>
  <c r="J489" i="12"/>
  <c r="I489" i="12"/>
  <c r="K489" i="12" s="1"/>
  <c r="J488" i="12"/>
  <c r="J473" i="12" s="1"/>
  <c r="I488" i="12"/>
  <c r="J487" i="12"/>
  <c r="I487" i="12"/>
  <c r="K487" i="12" s="1"/>
  <c r="J486" i="12"/>
  <c r="I486" i="12"/>
  <c r="J485" i="12"/>
  <c r="I485" i="12"/>
  <c r="K485" i="12" s="1"/>
  <c r="J484" i="12"/>
  <c r="I484" i="12"/>
  <c r="J483" i="12"/>
  <c r="I483" i="12"/>
  <c r="K483" i="12" s="1"/>
  <c r="J482" i="12"/>
  <c r="I482" i="12"/>
  <c r="M477" i="12"/>
  <c r="L477" i="12"/>
  <c r="L476" i="12"/>
  <c r="N476" i="12" s="1"/>
  <c r="N474" i="12"/>
  <c r="K472" i="12"/>
  <c r="K471" i="12"/>
  <c r="K470" i="12"/>
  <c r="K469" i="12"/>
  <c r="K468" i="12"/>
  <c r="J466" i="12"/>
  <c r="J457" i="12" s="1"/>
  <c r="I466" i="12"/>
  <c r="M461" i="12"/>
  <c r="L461" i="12"/>
  <c r="N461" i="12" s="1"/>
  <c r="L460" i="12"/>
  <c r="M459" i="12"/>
  <c r="M457" i="12" s="1"/>
  <c r="N458" i="12"/>
  <c r="I456" i="12"/>
  <c r="K456" i="12" s="1"/>
  <c r="I455" i="12"/>
  <c r="K455" i="12" s="1"/>
  <c r="I454" i="12"/>
  <c r="K454" i="12" s="1"/>
  <c r="I453" i="12"/>
  <c r="M448" i="12"/>
  <c r="M446" i="12" s="1"/>
  <c r="M444" i="12" s="1"/>
  <c r="L448" i="12"/>
  <c r="N448" i="12" s="1"/>
  <c r="L447" i="12"/>
  <c r="N445" i="12"/>
  <c r="J444" i="12"/>
  <c r="I441" i="12"/>
  <c r="K441" i="12" s="1"/>
  <c r="I440" i="12"/>
  <c r="M430" i="12"/>
  <c r="L430" i="12"/>
  <c r="L429" i="12"/>
  <c r="N427" i="12"/>
  <c r="J426" i="12"/>
  <c r="K425" i="12"/>
  <c r="K424" i="12"/>
  <c r="K423" i="12"/>
  <c r="K422" i="12"/>
  <c r="K421" i="12"/>
  <c r="K420" i="12"/>
  <c r="J419" i="12"/>
  <c r="J418" i="12"/>
  <c r="K417" i="12"/>
  <c r="J417" i="12"/>
  <c r="I419" i="12" s="1"/>
  <c r="K419" i="12" s="1"/>
  <c r="K416" i="12"/>
  <c r="J416" i="12"/>
  <c r="I418" i="12" s="1"/>
  <c r="K418" i="12" s="1"/>
  <c r="K415" i="12"/>
  <c r="J415" i="12"/>
  <c r="K414" i="12"/>
  <c r="J414" i="12"/>
  <c r="K413" i="12"/>
  <c r="J413" i="12"/>
  <c r="K412" i="12"/>
  <c r="J412" i="12"/>
  <c r="I411" i="12"/>
  <c r="K411" i="12" s="1"/>
  <c r="I410" i="12"/>
  <c r="K410" i="12" s="1"/>
  <c r="I409" i="12"/>
  <c r="K409" i="12" s="1"/>
  <c r="K408" i="12"/>
  <c r="K407" i="12"/>
  <c r="K406" i="12"/>
  <c r="K405" i="12"/>
  <c r="K404" i="12"/>
  <c r="K403" i="12"/>
  <c r="K402" i="12"/>
  <c r="J402" i="12"/>
  <c r="K401" i="12"/>
  <c r="J401" i="12"/>
  <c r="J391" i="12" s="1"/>
  <c r="J390" i="12" s="1"/>
  <c r="K400" i="12"/>
  <c r="K399" i="12"/>
  <c r="K398" i="12"/>
  <c r="K397" i="12"/>
  <c r="K396" i="12"/>
  <c r="K395" i="12"/>
  <c r="K394" i="12"/>
  <c r="J394" i="12"/>
  <c r="J392" i="12" s="1"/>
  <c r="K393" i="12"/>
  <c r="J393" i="12"/>
  <c r="I392" i="12"/>
  <c r="I391" i="12"/>
  <c r="I390" i="12"/>
  <c r="K389" i="12"/>
  <c r="K388" i="12"/>
  <c r="K387" i="12"/>
  <c r="K386" i="12"/>
  <c r="K385" i="12"/>
  <c r="K384" i="12"/>
  <c r="K383" i="12"/>
  <c r="J383" i="12"/>
  <c r="J377" i="12" s="1"/>
  <c r="K382" i="12"/>
  <c r="J382" i="12"/>
  <c r="J376" i="12" s="1"/>
  <c r="K381" i="12"/>
  <c r="K380" i="12"/>
  <c r="K379" i="12"/>
  <c r="K378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I377" i="12" s="1"/>
  <c r="K377" i="12" s="1"/>
  <c r="J360" i="12"/>
  <c r="J359" i="12"/>
  <c r="I359" i="12"/>
  <c r="M354" i="12"/>
  <c r="L354" i="12"/>
  <c r="L353" i="12"/>
  <c r="M352" i="12"/>
  <c r="M350" i="12" s="1"/>
  <c r="N351" i="12"/>
  <c r="J350" i="12"/>
  <c r="I347" i="12"/>
  <c r="K347" i="12" s="1"/>
  <c r="I346" i="12"/>
  <c r="K346" i="12" s="1"/>
  <c r="I345" i="12"/>
  <c r="J344" i="12"/>
  <c r="J330" i="12" s="1"/>
  <c r="M334" i="12"/>
  <c r="M332" i="12" s="1"/>
  <c r="M330" i="12" s="1"/>
  <c r="L334" i="12"/>
  <c r="N334" i="12" s="1"/>
  <c r="L333" i="12"/>
  <c r="N331" i="12"/>
  <c r="I327" i="12"/>
  <c r="K327" i="12" s="1"/>
  <c r="I326" i="12"/>
  <c r="I324" i="12"/>
  <c r="K324" i="12" s="1"/>
  <c r="I323" i="12"/>
  <c r="I322" i="12"/>
  <c r="K322" i="12" s="1"/>
  <c r="I321" i="12"/>
  <c r="I320" i="12"/>
  <c r="K320" i="12" s="1"/>
  <c r="I319" i="12"/>
  <c r="K319" i="12" s="1"/>
  <c r="I318" i="12"/>
  <c r="I317" i="12"/>
  <c r="I316" i="12"/>
  <c r="I315" i="12"/>
  <c r="K315" i="12" s="1"/>
  <c r="I314" i="12"/>
  <c r="I313" i="12"/>
  <c r="K313" i="12" s="1"/>
  <c r="I312" i="12"/>
  <c r="M301" i="12"/>
  <c r="L301" i="12"/>
  <c r="N301" i="12" s="1"/>
  <c r="L300" i="12"/>
  <c r="M299" i="12"/>
  <c r="M296" i="12" s="1"/>
  <c r="N298" i="12"/>
  <c r="J296" i="12"/>
  <c r="I293" i="12"/>
  <c r="K293" i="12" s="1"/>
  <c r="I292" i="12"/>
  <c r="I291" i="12"/>
  <c r="M280" i="12"/>
  <c r="L280" i="12"/>
  <c r="L279" i="12"/>
  <c r="N279" i="12" s="1"/>
  <c r="M278" i="12"/>
  <c r="M275" i="12" s="1"/>
  <c r="N277" i="12"/>
  <c r="J276" i="12"/>
  <c r="J275" i="12"/>
  <c r="I272" i="12"/>
  <c r="K272" i="12" s="1"/>
  <c r="I271" i="12"/>
  <c r="K271" i="12" s="1"/>
  <c r="J270" i="12"/>
  <c r="J244" i="12" s="1"/>
  <c r="I268" i="12"/>
  <c r="K268" i="12" s="1"/>
  <c r="I266" i="12"/>
  <c r="K266" i="12" s="1"/>
  <c r="I264" i="12"/>
  <c r="J263" i="12"/>
  <c r="I263" i="12"/>
  <c r="I265" i="12" s="1"/>
  <c r="K265" i="12" s="1"/>
  <c r="J262" i="12"/>
  <c r="I260" i="12"/>
  <c r="K260" i="12" s="1"/>
  <c r="M249" i="12"/>
  <c r="L249" i="12"/>
  <c r="N249" i="12" s="1"/>
  <c r="L248" i="12"/>
  <c r="M247" i="12"/>
  <c r="M244" i="12" s="1"/>
  <c r="N246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M230" i="12"/>
  <c r="M228" i="12" s="1"/>
  <c r="N229" i="12"/>
  <c r="I224" i="12"/>
  <c r="L218" i="12"/>
  <c r="N217" i="12"/>
  <c r="M216" i="12"/>
  <c r="N215" i="12"/>
  <c r="M214" i="12"/>
  <c r="J214" i="12"/>
  <c r="I211" i="12"/>
  <c r="K211" i="12" s="1"/>
  <c r="K209" i="12"/>
  <c r="I209" i="12"/>
  <c r="I199" i="12" s="1"/>
  <c r="K199" i="12" s="1"/>
  <c r="L203" i="12"/>
  <c r="N202" i="12"/>
  <c r="M201" i="12"/>
  <c r="N200" i="12"/>
  <c r="M199" i="12"/>
  <c r="J199" i="12"/>
  <c r="I195" i="12"/>
  <c r="L189" i="12"/>
  <c r="N189" i="12" s="1"/>
  <c r="L188" i="12"/>
  <c r="M187" i="12"/>
  <c r="M185" i="12" s="1"/>
  <c r="N186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M171" i="12"/>
  <c r="N170" i="12"/>
  <c r="M169" i="12"/>
  <c r="J169" i="12"/>
  <c r="K164" i="12"/>
  <c r="K158" i="12"/>
  <c r="J158" i="12"/>
  <c r="I158" i="12"/>
  <c r="I155" i="12"/>
  <c r="J149" i="12"/>
  <c r="J144" i="12" s="1"/>
  <c r="L148" i="12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L132" i="12"/>
  <c r="M131" i="12"/>
  <c r="N130" i="12"/>
  <c r="M129" i="12"/>
  <c r="J129" i="12"/>
  <c r="L126" i="12"/>
  <c r="N126" i="12" s="1"/>
  <c r="I126" i="12"/>
  <c r="K126" i="12" s="1"/>
  <c r="L125" i="12"/>
  <c r="N125" i="12" s="1"/>
  <c r="I125" i="12"/>
  <c r="I124" i="12"/>
  <c r="K124" i="12" s="1"/>
  <c r="L117" i="12"/>
  <c r="M116" i="12"/>
  <c r="N115" i="12"/>
  <c r="M114" i="12"/>
  <c r="J114" i="12"/>
  <c r="L111" i="12"/>
  <c r="N111" i="12" s="1"/>
  <c r="I111" i="12"/>
  <c r="L110" i="12"/>
  <c r="N110" i="12" s="1"/>
  <c r="I110" i="12"/>
  <c r="K110" i="12" s="1"/>
  <c r="L104" i="12"/>
  <c r="M103" i="12"/>
  <c r="M101" i="12" s="1"/>
  <c r="N102" i="12"/>
  <c r="J101" i="12"/>
  <c r="L98" i="12"/>
  <c r="N98" i="12" s="1"/>
  <c r="I98" i="12"/>
  <c r="L92" i="12"/>
  <c r="M91" i="12"/>
  <c r="M89" i="12" s="1"/>
  <c r="N90" i="12"/>
  <c r="J89" i="12"/>
  <c r="J84" i="12"/>
  <c r="I83" i="12"/>
  <c r="N77" i="12"/>
  <c r="L77" i="12"/>
  <c r="L76" i="12" s="1"/>
  <c r="M76" i="12"/>
  <c r="N75" i="12"/>
  <c r="M74" i="12"/>
  <c r="J74" i="12"/>
  <c r="M73" i="12"/>
  <c r="L72" i="12"/>
  <c r="N72" i="12" s="1"/>
  <c r="M71" i="12"/>
  <c r="M68" i="12" s="1"/>
  <c r="N70" i="12"/>
  <c r="J68" i="12"/>
  <c r="I62" i="12"/>
  <c r="I52" i="12" s="1"/>
  <c r="K52" i="12" s="1"/>
  <c r="L56" i="12"/>
  <c r="N56" i="12" s="1"/>
  <c r="L55" i="12"/>
  <c r="M54" i="12"/>
  <c r="N53" i="12"/>
  <c r="M52" i="12"/>
  <c r="J52" i="12"/>
  <c r="I48" i="12"/>
  <c r="I47" i="12"/>
  <c r="K47" i="12" s="1"/>
  <c r="I46" i="12"/>
  <c r="K46" i="12" s="1"/>
  <c r="I45" i="12"/>
  <c r="K45" i="12" s="1"/>
  <c r="I44" i="12"/>
  <c r="I43" i="12"/>
  <c r="K43" i="12" s="1"/>
  <c r="L37" i="12"/>
  <c r="N37" i="12" s="1"/>
  <c r="L36" i="12"/>
  <c r="N36" i="12" s="1"/>
  <c r="M35" i="12"/>
  <c r="M32" i="12" s="1"/>
  <c r="L35" i="12"/>
  <c r="N34" i="12"/>
  <c r="J33" i="12"/>
  <c r="J32" i="12"/>
  <c r="I28" i="12"/>
  <c r="K28" i="12" s="1"/>
  <c r="I27" i="12"/>
  <c r="K27" i="12" s="1"/>
  <c r="I26" i="12"/>
  <c r="K26" i="12" s="1"/>
  <c r="I25" i="12"/>
  <c r="I24" i="12"/>
  <c r="K24" i="12" s="1"/>
  <c r="I23" i="12"/>
  <c r="K23" i="12" s="1"/>
  <c r="I22" i="12"/>
  <c r="J21" i="12"/>
  <c r="J20" i="12"/>
  <c r="J9" i="12" s="1"/>
  <c r="L14" i="12"/>
  <c r="N14" i="12" s="1"/>
  <c r="L13" i="12"/>
  <c r="N13" i="12" s="1"/>
  <c r="M12" i="12"/>
  <c r="L12" i="12"/>
  <c r="N12" i="12" s="1"/>
  <c r="N11" i="12"/>
  <c r="J10" i="12"/>
  <c r="M9" i="12"/>
  <c r="J528" i="11"/>
  <c r="I528" i="11"/>
  <c r="K528" i="11" s="1"/>
  <c r="J527" i="11"/>
  <c r="I527" i="11"/>
  <c r="K527" i="11" s="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17" i="11"/>
  <c r="I517" i="11"/>
  <c r="J514" i="11"/>
  <c r="I514" i="11"/>
  <c r="J513" i="11"/>
  <c r="I513" i="11"/>
  <c r="J510" i="11"/>
  <c r="I510" i="11"/>
  <c r="J504" i="11"/>
  <c r="I504" i="11"/>
  <c r="I490" i="11" s="1"/>
  <c r="M494" i="11"/>
  <c r="L494" i="11"/>
  <c r="N494" i="11" s="1"/>
  <c r="L493" i="11"/>
  <c r="M492" i="11"/>
  <c r="N491" i="11"/>
  <c r="M490" i="11"/>
  <c r="J490" i="11"/>
  <c r="J489" i="11"/>
  <c r="I489" i="11"/>
  <c r="K489" i="11" s="1"/>
  <c r="J488" i="11"/>
  <c r="J473" i="11" s="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J483" i="11"/>
  <c r="I483" i="11"/>
  <c r="K483" i="11" s="1"/>
  <c r="J482" i="11"/>
  <c r="I482" i="11"/>
  <c r="K482" i="11" s="1"/>
  <c r="M477" i="11"/>
  <c r="M475" i="11" s="1"/>
  <c r="M473" i="11" s="1"/>
  <c r="L477" i="11"/>
  <c r="N477" i="11" s="1"/>
  <c r="L476" i="11"/>
  <c r="N474" i="11"/>
  <c r="K472" i="11"/>
  <c r="K471" i="11"/>
  <c r="K470" i="11"/>
  <c r="K469" i="11"/>
  <c r="K468" i="11"/>
  <c r="J466" i="11"/>
  <c r="J457" i="11" s="1"/>
  <c r="I466" i="11"/>
  <c r="M461" i="11"/>
  <c r="L461" i="11"/>
  <c r="N461" i="11" s="1"/>
  <c r="L460" i="11"/>
  <c r="M459" i="11"/>
  <c r="N458" i="11"/>
  <c r="M457" i="11"/>
  <c r="I456" i="11"/>
  <c r="K456" i="11" s="1"/>
  <c r="I455" i="11"/>
  <c r="K455" i="11" s="1"/>
  <c r="I454" i="11"/>
  <c r="K454" i="11" s="1"/>
  <c r="I453" i="11"/>
  <c r="M448" i="11"/>
  <c r="M446" i="11" s="1"/>
  <c r="M444" i="11" s="1"/>
  <c r="L448" i="11"/>
  <c r="N448" i="11" s="1"/>
  <c r="L447" i="11"/>
  <c r="N445" i="11"/>
  <c r="J444" i="11"/>
  <c r="I441" i="11"/>
  <c r="K441" i="11" s="1"/>
  <c r="I440" i="11"/>
  <c r="M430" i="11"/>
  <c r="L430" i="11"/>
  <c r="L429" i="11"/>
  <c r="N427" i="11"/>
  <c r="J426" i="11"/>
  <c r="K425" i="11"/>
  <c r="K424" i="11"/>
  <c r="K423" i="11"/>
  <c r="K422" i="11"/>
  <c r="K421" i="11"/>
  <c r="K420" i="11"/>
  <c r="J419" i="11"/>
  <c r="J418" i="11"/>
  <c r="K417" i="11"/>
  <c r="J417" i="11"/>
  <c r="I419" i="11" s="1"/>
  <c r="K419" i="11" s="1"/>
  <c r="K416" i="11"/>
  <c r="J416" i="11"/>
  <c r="I418" i="11" s="1"/>
  <c r="K418" i="11" s="1"/>
  <c r="K415" i="11"/>
  <c r="J415" i="11"/>
  <c r="K414" i="11"/>
  <c r="J414" i="11"/>
  <c r="K413" i="11"/>
  <c r="J413" i="11"/>
  <c r="K412" i="11"/>
  <c r="J412" i="11"/>
  <c r="I411" i="11"/>
  <c r="K411" i="11" s="1"/>
  <c r="I410" i="11"/>
  <c r="K410" i="11" s="1"/>
  <c r="I409" i="11"/>
  <c r="K409" i="11" s="1"/>
  <c r="K408" i="11"/>
  <c r="K407" i="11"/>
  <c r="K406" i="11"/>
  <c r="K405" i="11"/>
  <c r="K404" i="11"/>
  <c r="K403" i="11"/>
  <c r="K402" i="11"/>
  <c r="J402" i="11"/>
  <c r="K401" i="11"/>
  <c r="J401" i="11"/>
  <c r="K400" i="11"/>
  <c r="K399" i="11"/>
  <c r="K398" i="11"/>
  <c r="K397" i="11"/>
  <c r="K396" i="11"/>
  <c r="K395" i="11"/>
  <c r="K394" i="11"/>
  <c r="J394" i="11"/>
  <c r="K393" i="11"/>
  <c r="J393" i="11"/>
  <c r="J392" i="11"/>
  <c r="I392" i="11"/>
  <c r="K392" i="11" s="1"/>
  <c r="J391" i="11"/>
  <c r="J390" i="11" s="1"/>
  <c r="I391" i="11"/>
  <c r="K391" i="11" s="1"/>
  <c r="I390" i="11"/>
  <c r="K390" i="11" s="1"/>
  <c r="K389" i="11"/>
  <c r="K388" i="11"/>
  <c r="K387" i="11"/>
  <c r="K386" i="11"/>
  <c r="K385" i="11"/>
  <c r="K384" i="11"/>
  <c r="K383" i="11"/>
  <c r="J383" i="11"/>
  <c r="J377" i="11" s="1"/>
  <c r="K382" i="11"/>
  <c r="J382" i="11"/>
  <c r="J376" i="11" s="1"/>
  <c r="K381" i="11"/>
  <c r="K380" i="11"/>
  <c r="K379" i="11"/>
  <c r="K378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I377" i="11" s="1"/>
  <c r="K377" i="11" s="1"/>
  <c r="J360" i="11"/>
  <c r="J359" i="11"/>
  <c r="I359" i="11"/>
  <c r="M354" i="11"/>
  <c r="L354" i="11"/>
  <c r="N354" i="11" s="1"/>
  <c r="L353" i="11"/>
  <c r="M352" i="11"/>
  <c r="M350" i="11" s="1"/>
  <c r="N351" i="11"/>
  <c r="J350" i="11"/>
  <c r="I347" i="11"/>
  <c r="K347" i="11" s="1"/>
  <c r="I346" i="11"/>
  <c r="K346" i="11" s="1"/>
  <c r="I345" i="11"/>
  <c r="J344" i="11"/>
  <c r="J330" i="11" s="1"/>
  <c r="M334" i="11"/>
  <c r="L334" i="11"/>
  <c r="N334" i="11" s="1"/>
  <c r="L333" i="11"/>
  <c r="M332" i="11"/>
  <c r="N331" i="11"/>
  <c r="M330" i="11"/>
  <c r="I327" i="11"/>
  <c r="K327" i="11" s="1"/>
  <c r="I326" i="11"/>
  <c r="I324" i="11"/>
  <c r="K324" i="11" s="1"/>
  <c r="I323" i="11"/>
  <c r="K323" i="11" s="1"/>
  <c r="I322" i="11"/>
  <c r="K322" i="11" s="1"/>
  <c r="I321" i="11"/>
  <c r="I320" i="11"/>
  <c r="I319" i="11"/>
  <c r="K319" i="11" s="1"/>
  <c r="I318" i="11"/>
  <c r="K318" i="11" s="1"/>
  <c r="I317" i="11"/>
  <c r="I316" i="11"/>
  <c r="I315" i="11"/>
  <c r="K315" i="11" s="1"/>
  <c r="I314" i="11"/>
  <c r="I313" i="11"/>
  <c r="K313" i="11" s="1"/>
  <c r="I312" i="11"/>
  <c r="M301" i="11"/>
  <c r="L301" i="11"/>
  <c r="N301" i="11" s="1"/>
  <c r="L300" i="11"/>
  <c r="M299" i="11"/>
  <c r="M296" i="11" s="1"/>
  <c r="N298" i="11"/>
  <c r="J296" i="11"/>
  <c r="I293" i="11"/>
  <c r="K293" i="11" s="1"/>
  <c r="I292" i="11"/>
  <c r="I291" i="11"/>
  <c r="M280" i="11"/>
  <c r="L280" i="11"/>
  <c r="N280" i="11" s="1"/>
  <c r="L279" i="11"/>
  <c r="M278" i="11"/>
  <c r="M275" i="11" s="1"/>
  <c r="N277" i="11"/>
  <c r="J276" i="11"/>
  <c r="J275" i="11"/>
  <c r="I272" i="11"/>
  <c r="K272" i="11" s="1"/>
  <c r="I271" i="11"/>
  <c r="J270" i="11"/>
  <c r="I268" i="11"/>
  <c r="K268" i="11" s="1"/>
  <c r="I266" i="11"/>
  <c r="K266" i="11" s="1"/>
  <c r="I264" i="11"/>
  <c r="J263" i="11"/>
  <c r="I263" i="11"/>
  <c r="I245" i="11" s="1"/>
  <c r="K245" i="11" s="1"/>
  <c r="J262" i="11"/>
  <c r="I260" i="11"/>
  <c r="K260" i="11" s="1"/>
  <c r="M249" i="11"/>
  <c r="L249" i="11"/>
  <c r="N249" i="11" s="1"/>
  <c r="L248" i="11"/>
  <c r="M247" i="11"/>
  <c r="M244" i="11" s="1"/>
  <c r="N246" i="11"/>
  <c r="J244" i="11"/>
  <c r="K241" i="11"/>
  <c r="J241" i="11"/>
  <c r="J240" i="11"/>
  <c r="I240" i="11"/>
  <c r="K239" i="11"/>
  <c r="J239" i="11"/>
  <c r="J238" i="11"/>
  <c r="I238" i="11"/>
  <c r="K237" i="11"/>
  <c r="J237" i="11"/>
  <c r="J236" i="11"/>
  <c r="I236" i="11"/>
  <c r="J235" i="11"/>
  <c r="I235" i="11"/>
  <c r="K234" i="11"/>
  <c r="J234" i="11"/>
  <c r="L232" i="11"/>
  <c r="N232" i="11" s="1"/>
  <c r="L231" i="11"/>
  <c r="N231" i="11" s="1"/>
  <c r="M230" i="11"/>
  <c r="N229" i="11"/>
  <c r="M228" i="11"/>
  <c r="I224" i="11"/>
  <c r="I214" i="11" s="1"/>
  <c r="K214" i="11" s="1"/>
  <c r="L218" i="11"/>
  <c r="N217" i="11"/>
  <c r="M216" i="11"/>
  <c r="N215" i="11"/>
  <c r="M214" i="11"/>
  <c r="J214" i="11"/>
  <c r="I211" i="11"/>
  <c r="K211" i="11" s="1"/>
  <c r="I209" i="11"/>
  <c r="L203" i="11"/>
  <c r="N202" i="11"/>
  <c r="M201" i="11"/>
  <c r="N200" i="11"/>
  <c r="M199" i="11"/>
  <c r="J199" i="11"/>
  <c r="I195" i="11"/>
  <c r="I185" i="11" s="1"/>
  <c r="K185" i="11" s="1"/>
  <c r="L189" i="11"/>
  <c r="N189" i="11" s="1"/>
  <c r="L188" i="1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M171" i="11"/>
  <c r="N170" i="11"/>
  <c r="M169" i="11"/>
  <c r="J169" i="11"/>
  <c r="K164" i="11"/>
  <c r="K158" i="11"/>
  <c r="J158" i="11"/>
  <c r="I158" i="11"/>
  <c r="I155" i="11"/>
  <c r="J149" i="11"/>
  <c r="J144" i="11" s="1"/>
  <c r="L148" i="11"/>
  <c r="N147" i="11"/>
  <c r="M146" i="11"/>
  <c r="M144" i="11" s="1"/>
  <c r="N145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N132" i="11" s="1"/>
  <c r="M131" i="11"/>
  <c r="M129" i="11" s="1"/>
  <c r="N130" i="11"/>
  <c r="J129" i="11"/>
  <c r="L126" i="11"/>
  <c r="N126" i="11" s="1"/>
  <c r="I126" i="11"/>
  <c r="L125" i="11"/>
  <c r="N125" i="11" s="1"/>
  <c r="I125" i="11"/>
  <c r="I124" i="11"/>
  <c r="K124" i="11" s="1"/>
  <c r="L117" i="11"/>
  <c r="M116" i="11"/>
  <c r="M114" i="11" s="1"/>
  <c r="N115" i="11"/>
  <c r="J114" i="11"/>
  <c r="L111" i="11"/>
  <c r="N111" i="11" s="1"/>
  <c r="I111" i="11"/>
  <c r="I101" i="11" s="1"/>
  <c r="K101" i="11" s="1"/>
  <c r="L110" i="11"/>
  <c r="N110" i="11" s="1"/>
  <c r="I110" i="11"/>
  <c r="K110" i="11" s="1"/>
  <c r="L104" i="11"/>
  <c r="M103" i="11"/>
  <c r="N102" i="11"/>
  <c r="M101" i="11"/>
  <c r="J101" i="11"/>
  <c r="L98" i="11"/>
  <c r="N98" i="11" s="1"/>
  <c r="I98" i="11"/>
  <c r="I89" i="11" s="1"/>
  <c r="L92" i="11"/>
  <c r="M91" i="11"/>
  <c r="M89" i="11" s="1"/>
  <c r="N90" i="11"/>
  <c r="J89" i="11"/>
  <c r="J84" i="11"/>
  <c r="I83" i="11"/>
  <c r="L77" i="11"/>
  <c r="L76" i="11" s="1"/>
  <c r="N76" i="11" s="1"/>
  <c r="M76" i="11"/>
  <c r="N75" i="11"/>
  <c r="M74" i="11"/>
  <c r="J74" i="11"/>
  <c r="M73" i="11"/>
  <c r="L72" i="11"/>
  <c r="M71" i="11"/>
  <c r="N70" i="11"/>
  <c r="M68" i="11"/>
  <c r="J68" i="11"/>
  <c r="I62" i="11"/>
  <c r="L56" i="11"/>
  <c r="N56" i="11" s="1"/>
  <c r="L55" i="11"/>
  <c r="M54" i="11"/>
  <c r="N53" i="11"/>
  <c r="M52" i="11"/>
  <c r="J52" i="11"/>
  <c r="I48" i="11"/>
  <c r="K48" i="11" s="1"/>
  <c r="I47" i="11"/>
  <c r="K47" i="11" s="1"/>
  <c r="I46" i="11"/>
  <c r="K46" i="11" s="1"/>
  <c r="I45" i="11"/>
  <c r="K45" i="11" s="1"/>
  <c r="I44" i="11"/>
  <c r="I43" i="11"/>
  <c r="K43" i="11" s="1"/>
  <c r="L37" i="11"/>
  <c r="N37" i="11" s="1"/>
  <c r="L36" i="11"/>
  <c r="N36" i="11" s="1"/>
  <c r="M35" i="11"/>
  <c r="M32" i="11" s="1"/>
  <c r="L35" i="11"/>
  <c r="N34" i="11"/>
  <c r="J33" i="11"/>
  <c r="J32" i="11"/>
  <c r="I28" i="11"/>
  <c r="K28" i="11" s="1"/>
  <c r="I27" i="11"/>
  <c r="I26" i="11"/>
  <c r="K26" i="11" s="1"/>
  <c r="I25" i="11"/>
  <c r="K25" i="11" s="1"/>
  <c r="I24" i="11"/>
  <c r="K24" i="11" s="1"/>
  <c r="I23" i="11"/>
  <c r="K23" i="11" s="1"/>
  <c r="I22" i="11"/>
  <c r="J21" i="11"/>
  <c r="J20" i="11"/>
  <c r="J9" i="11" s="1"/>
  <c r="L14" i="11"/>
  <c r="N14" i="11" s="1"/>
  <c r="L13" i="11"/>
  <c r="N13" i="11" s="1"/>
  <c r="M12" i="11"/>
  <c r="M9" i="11" s="1"/>
  <c r="M6" i="11" s="1"/>
  <c r="L12" i="11"/>
  <c r="N12" i="11" s="1"/>
  <c r="N11" i="11"/>
  <c r="J10" i="11"/>
  <c r="J528" i="10"/>
  <c r="I528" i="10"/>
  <c r="J527" i="10"/>
  <c r="I527" i="10"/>
  <c r="J526" i="10"/>
  <c r="I526" i="10"/>
  <c r="K526" i="10" s="1"/>
  <c r="J525" i="10"/>
  <c r="I525" i="10"/>
  <c r="K525" i="10" s="1"/>
  <c r="J524" i="10"/>
  <c r="I524" i="10"/>
  <c r="K524" i="10" s="1"/>
  <c r="J523" i="10"/>
  <c r="I523" i="10"/>
  <c r="K523" i="10" s="1"/>
  <c r="J522" i="10"/>
  <c r="I522" i="10"/>
  <c r="J521" i="10"/>
  <c r="I521" i="10"/>
  <c r="J517" i="10"/>
  <c r="I517" i="10"/>
  <c r="J514" i="10"/>
  <c r="I514" i="10"/>
  <c r="J513" i="10"/>
  <c r="I513" i="10"/>
  <c r="J510" i="10"/>
  <c r="I510" i="10"/>
  <c r="J504" i="10"/>
  <c r="I504" i="10"/>
  <c r="M494" i="10"/>
  <c r="M492" i="10" s="1"/>
  <c r="M490" i="10" s="1"/>
  <c r="L494" i="10"/>
  <c r="N494" i="10" s="1"/>
  <c r="L493" i="10"/>
  <c r="N491" i="10"/>
  <c r="K489" i="10"/>
  <c r="J489" i="10"/>
  <c r="J488" i="10"/>
  <c r="J473" i="10" s="1"/>
  <c r="I488" i="10"/>
  <c r="K488" i="10" s="1"/>
  <c r="K487" i="10"/>
  <c r="J487" i="10"/>
  <c r="J486" i="10"/>
  <c r="I486" i="10"/>
  <c r="K486" i="10" s="1"/>
  <c r="K485" i="10"/>
  <c r="J485" i="10"/>
  <c r="J484" i="10"/>
  <c r="I484" i="10"/>
  <c r="K483" i="10"/>
  <c r="J483" i="10"/>
  <c r="J482" i="10"/>
  <c r="I482" i="10"/>
  <c r="K482" i="10" s="1"/>
  <c r="M477" i="10"/>
  <c r="M475" i="10" s="1"/>
  <c r="M473" i="10" s="1"/>
  <c r="L477" i="10"/>
  <c r="N477" i="10" s="1"/>
  <c r="L476" i="10"/>
  <c r="N476" i="10" s="1"/>
  <c r="N474" i="10"/>
  <c r="K472" i="10"/>
  <c r="K471" i="10"/>
  <c r="K470" i="10"/>
  <c r="K469" i="10"/>
  <c r="K468" i="10"/>
  <c r="J466" i="10"/>
  <c r="J457" i="10" s="1"/>
  <c r="I466" i="10"/>
  <c r="M461" i="10"/>
  <c r="L461" i="10"/>
  <c r="N461" i="10" s="1"/>
  <c r="L460" i="10"/>
  <c r="M459" i="10"/>
  <c r="N458" i="10"/>
  <c r="M457" i="10"/>
  <c r="I456" i="10"/>
  <c r="K456" i="10" s="1"/>
  <c r="I455" i="10"/>
  <c r="I454" i="10"/>
  <c r="K454" i="10" s="1"/>
  <c r="I453" i="10"/>
  <c r="K453" i="10" s="1"/>
  <c r="M448" i="10"/>
  <c r="L448" i="10"/>
  <c r="N448" i="10" s="1"/>
  <c r="L447" i="10"/>
  <c r="M446" i="10"/>
  <c r="N445" i="10"/>
  <c r="M444" i="10"/>
  <c r="J444" i="10"/>
  <c r="I441" i="10"/>
  <c r="K441" i="10" s="1"/>
  <c r="I440" i="10"/>
  <c r="K440" i="10" s="1"/>
  <c r="M430" i="10"/>
  <c r="L430" i="10"/>
  <c r="L429" i="10"/>
  <c r="N429" i="10" s="1"/>
  <c r="M428" i="10"/>
  <c r="M426" i="10" s="1"/>
  <c r="N427" i="10"/>
  <c r="J426" i="10"/>
  <c r="K425" i="10"/>
  <c r="K424" i="10"/>
  <c r="K423" i="10"/>
  <c r="K422" i="10"/>
  <c r="K421" i="10"/>
  <c r="K420" i="10"/>
  <c r="J419" i="10"/>
  <c r="J418" i="10"/>
  <c r="K417" i="10"/>
  <c r="J417" i="10"/>
  <c r="I419" i="10" s="1"/>
  <c r="K419" i="10" s="1"/>
  <c r="K416" i="10"/>
  <c r="J416" i="10"/>
  <c r="I418" i="10" s="1"/>
  <c r="K418" i="10" s="1"/>
  <c r="K415" i="10"/>
  <c r="J415" i="10"/>
  <c r="K414" i="10"/>
  <c r="J414" i="10"/>
  <c r="K413" i="10"/>
  <c r="J413" i="10"/>
  <c r="K412" i="10"/>
  <c r="J412" i="10"/>
  <c r="I411" i="10"/>
  <c r="K411" i="10" s="1"/>
  <c r="I410" i="10"/>
  <c r="K410" i="10" s="1"/>
  <c r="I409" i="10"/>
  <c r="K409" i="10" s="1"/>
  <c r="K408" i="10"/>
  <c r="K407" i="10"/>
  <c r="K406" i="10"/>
  <c r="K405" i="10"/>
  <c r="K404" i="10"/>
  <c r="K403" i="10"/>
  <c r="K402" i="10"/>
  <c r="J402" i="10"/>
  <c r="K401" i="10"/>
  <c r="J401" i="10"/>
  <c r="K400" i="10"/>
  <c r="K399" i="10"/>
  <c r="K398" i="10"/>
  <c r="K397" i="10"/>
  <c r="K396" i="10"/>
  <c r="K395" i="10"/>
  <c r="K394" i="10"/>
  <c r="J394" i="10"/>
  <c r="K393" i="10"/>
  <c r="J393" i="10"/>
  <c r="J391" i="10" s="1"/>
  <c r="J390" i="10" s="1"/>
  <c r="J392" i="10"/>
  <c r="I392" i="10"/>
  <c r="K392" i="10" s="1"/>
  <c r="I391" i="10"/>
  <c r="K391" i="10" s="1"/>
  <c r="I390" i="10"/>
  <c r="K390" i="10" s="1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J360" i="10"/>
  <c r="J360" i="1" s="1"/>
  <c r="I359" i="10"/>
  <c r="K359" i="10" s="1"/>
  <c r="M354" i="10"/>
  <c r="L354" i="10"/>
  <c r="L353" i="10"/>
  <c r="N353" i="10" s="1"/>
  <c r="M352" i="10"/>
  <c r="M350" i="10" s="1"/>
  <c r="N351" i="10"/>
  <c r="J350" i="10"/>
  <c r="I347" i="10"/>
  <c r="K347" i="10" s="1"/>
  <c r="I346" i="10"/>
  <c r="I345" i="10"/>
  <c r="K345" i="10" s="1"/>
  <c r="J344" i="10"/>
  <c r="J330" i="10" s="1"/>
  <c r="M334" i="10"/>
  <c r="L334" i="10"/>
  <c r="L333" i="10"/>
  <c r="N333" i="10" s="1"/>
  <c r="M332" i="10"/>
  <c r="M330" i="10" s="1"/>
  <c r="N331" i="10"/>
  <c r="I327" i="10"/>
  <c r="I326" i="10"/>
  <c r="K326" i="10" s="1"/>
  <c r="I324" i="10"/>
  <c r="K324" i="10" s="1"/>
  <c r="I323" i="10"/>
  <c r="I322" i="10"/>
  <c r="K322" i="10" s="1"/>
  <c r="I321" i="10"/>
  <c r="I320" i="10"/>
  <c r="K320" i="10" s="1"/>
  <c r="I319" i="10"/>
  <c r="I318" i="10"/>
  <c r="K318" i="10" s="1"/>
  <c r="I317" i="10"/>
  <c r="K317" i="10" s="1"/>
  <c r="I316" i="10"/>
  <c r="I315" i="10"/>
  <c r="K315" i="10" s="1"/>
  <c r="I314" i="10"/>
  <c r="I313" i="10"/>
  <c r="I312" i="10"/>
  <c r="M301" i="10"/>
  <c r="M299" i="10" s="1"/>
  <c r="M296" i="10" s="1"/>
  <c r="L301" i="10"/>
  <c r="N301" i="10" s="1"/>
  <c r="L300" i="10"/>
  <c r="N298" i="10"/>
  <c r="J296" i="10"/>
  <c r="I293" i="10"/>
  <c r="K293" i="10" s="1"/>
  <c r="I292" i="10"/>
  <c r="K292" i="10" s="1"/>
  <c r="I291" i="10"/>
  <c r="K291" i="10" s="1"/>
  <c r="M280" i="10"/>
  <c r="L280" i="10"/>
  <c r="L279" i="10"/>
  <c r="N277" i="10"/>
  <c r="J276" i="10"/>
  <c r="J275" i="10"/>
  <c r="I272" i="10"/>
  <c r="K272" i="10" s="1"/>
  <c r="I271" i="10"/>
  <c r="K271" i="10" s="1"/>
  <c r="J270" i="10"/>
  <c r="J244" i="10" s="1"/>
  <c r="I268" i="10"/>
  <c r="K268" i="10" s="1"/>
  <c r="I266" i="10"/>
  <c r="K266" i="10" s="1"/>
  <c r="I264" i="10"/>
  <c r="K264" i="10" s="1"/>
  <c r="J263" i="10"/>
  <c r="J245" i="10" s="1"/>
  <c r="I263" i="10"/>
  <c r="J262" i="10"/>
  <c r="I260" i="10"/>
  <c r="K260" i="10" s="1"/>
  <c r="J259" i="10"/>
  <c r="M249" i="10"/>
  <c r="M247" i="10" s="1"/>
  <c r="L249" i="10"/>
  <c r="N249" i="10" s="1"/>
  <c r="L248" i="10"/>
  <c r="N246" i="10"/>
  <c r="M244" i="10"/>
  <c r="K241" i="10"/>
  <c r="J241" i="10"/>
  <c r="J240" i="10"/>
  <c r="I240" i="10"/>
  <c r="K239" i="10"/>
  <c r="J239" i="10"/>
  <c r="J238" i="10"/>
  <c r="I238" i="10"/>
  <c r="K237" i="10"/>
  <c r="J237" i="10"/>
  <c r="J236" i="10"/>
  <c r="I236" i="10"/>
  <c r="J235" i="10"/>
  <c r="I235" i="10"/>
  <c r="K234" i="10"/>
  <c r="J234" i="10"/>
  <c r="L232" i="10"/>
  <c r="N232" i="10" s="1"/>
  <c r="L231" i="10"/>
  <c r="M230" i="10"/>
  <c r="N229" i="10"/>
  <c r="M228" i="10"/>
  <c r="I224" i="10"/>
  <c r="I214" i="10" s="1"/>
  <c r="K214" i="10" s="1"/>
  <c r="L218" i="10"/>
  <c r="N217" i="10"/>
  <c r="M216" i="10"/>
  <c r="N215" i="10"/>
  <c r="M214" i="10"/>
  <c r="J214" i="10"/>
  <c r="I211" i="10"/>
  <c r="K211" i="10" s="1"/>
  <c r="I209" i="10"/>
  <c r="L203" i="10"/>
  <c r="N202" i="10"/>
  <c r="M201" i="10"/>
  <c r="N200" i="10"/>
  <c r="M199" i="10"/>
  <c r="J199" i="10"/>
  <c r="I195" i="10"/>
  <c r="L189" i="10"/>
  <c r="N189" i="10" s="1"/>
  <c r="L188" i="10"/>
  <c r="M187" i="10"/>
  <c r="N186" i="10"/>
  <c r="M185" i="10"/>
  <c r="J185" i="10"/>
  <c r="I182" i="10"/>
  <c r="K182" i="10" s="1"/>
  <c r="I181" i="10"/>
  <c r="K181" i="10" s="1"/>
  <c r="I180" i="10"/>
  <c r="I179" i="10"/>
  <c r="K179" i="10" s="1"/>
  <c r="L173" i="10"/>
  <c r="N173" i="10" s="1"/>
  <c r="L172" i="10"/>
  <c r="M171" i="10"/>
  <c r="N170" i="10"/>
  <c r="M169" i="10"/>
  <c r="J169" i="10"/>
  <c r="K164" i="10"/>
  <c r="J158" i="10"/>
  <c r="J144" i="10" s="1"/>
  <c r="I158" i="10"/>
  <c r="K158" i="10" s="1"/>
  <c r="I155" i="10"/>
  <c r="J149" i="10"/>
  <c r="L148" i="10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I124" i="10"/>
  <c r="K124" i="10" s="1"/>
  <c r="L117" i="10"/>
  <c r="L116" i="10" s="1"/>
  <c r="M116" i="10"/>
  <c r="N115" i="10"/>
  <c r="M114" i="10"/>
  <c r="J114" i="10"/>
  <c r="L111" i="10"/>
  <c r="N111" i="10" s="1"/>
  <c r="I111" i="10"/>
  <c r="L110" i="10"/>
  <c r="N110" i="10" s="1"/>
  <c r="I110" i="10"/>
  <c r="K110" i="10" s="1"/>
  <c r="L104" i="10"/>
  <c r="M103" i="10"/>
  <c r="N102" i="10"/>
  <c r="M101" i="10"/>
  <c r="J101" i="10"/>
  <c r="L98" i="10"/>
  <c r="N98" i="10" s="1"/>
  <c r="I98" i="10"/>
  <c r="L92" i="10"/>
  <c r="M91" i="10"/>
  <c r="N90" i="10"/>
  <c r="M89" i="10"/>
  <c r="J89" i="10"/>
  <c r="J84" i="10"/>
  <c r="I83" i="10"/>
  <c r="L77" i="10"/>
  <c r="N77" i="10" s="1"/>
  <c r="M76" i="10"/>
  <c r="N75" i="10"/>
  <c r="M74" i="10"/>
  <c r="J74" i="10"/>
  <c r="M73" i="10"/>
  <c r="M71" i="10" s="1"/>
  <c r="M68" i="10" s="1"/>
  <c r="L72" i="10"/>
  <c r="N72" i="10" s="1"/>
  <c r="N70" i="10"/>
  <c r="J68" i="10"/>
  <c r="I62" i="10"/>
  <c r="L56" i="10"/>
  <c r="N56" i="10" s="1"/>
  <c r="L55" i="10"/>
  <c r="M54" i="10"/>
  <c r="M52" i="10" s="1"/>
  <c r="N53" i="10"/>
  <c r="J52" i="10"/>
  <c r="I48" i="10"/>
  <c r="I47" i="10"/>
  <c r="K47" i="10" s="1"/>
  <c r="I46" i="10"/>
  <c r="K46" i="10" s="1"/>
  <c r="I45" i="10"/>
  <c r="K45" i="10" s="1"/>
  <c r="I44" i="10"/>
  <c r="K44" i="10" s="1"/>
  <c r="I43" i="10"/>
  <c r="K43" i="10" s="1"/>
  <c r="L37" i="10"/>
  <c r="N37" i="10" s="1"/>
  <c r="L36" i="10"/>
  <c r="N36" i="10" s="1"/>
  <c r="M35" i="10"/>
  <c r="L35" i="10"/>
  <c r="N34" i="10"/>
  <c r="J33" i="10"/>
  <c r="M32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I22" i="10"/>
  <c r="J21" i="10"/>
  <c r="J20" i="10"/>
  <c r="J9" i="10" s="1"/>
  <c r="L14" i="10"/>
  <c r="N14" i="10" s="1"/>
  <c r="L13" i="10"/>
  <c r="N13" i="10" s="1"/>
  <c r="M12" i="10"/>
  <c r="M9" i="10" s="1"/>
  <c r="L12" i="10"/>
  <c r="N12" i="10" s="1"/>
  <c r="N11" i="10"/>
  <c r="J10" i="10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17" i="9"/>
  <c r="I517" i="9"/>
  <c r="J514" i="9"/>
  <c r="J513" i="9" s="1"/>
  <c r="I514" i="9"/>
  <c r="I513" i="9"/>
  <c r="J510" i="9"/>
  <c r="I510" i="9"/>
  <c r="J504" i="9"/>
  <c r="I504" i="9"/>
  <c r="K507" i="9" s="1"/>
  <c r="M494" i="9"/>
  <c r="L494" i="9"/>
  <c r="N494" i="9" s="1"/>
  <c r="L493" i="9"/>
  <c r="N493" i="9" s="1"/>
  <c r="M492" i="9"/>
  <c r="M490" i="9" s="1"/>
  <c r="N491" i="9"/>
  <c r="J490" i="9"/>
  <c r="K489" i="9"/>
  <c r="J489" i="9"/>
  <c r="J488" i="9"/>
  <c r="J473" i="9" s="1"/>
  <c r="I488" i="9"/>
  <c r="K488" i="9" s="1"/>
  <c r="K487" i="9"/>
  <c r="J487" i="9"/>
  <c r="J486" i="9"/>
  <c r="I486" i="9"/>
  <c r="K486" i="9" s="1"/>
  <c r="K485" i="9"/>
  <c r="J485" i="9"/>
  <c r="J484" i="9"/>
  <c r="I484" i="9"/>
  <c r="K483" i="9"/>
  <c r="J483" i="9"/>
  <c r="J482" i="9"/>
  <c r="I482" i="9"/>
  <c r="K482" i="9" s="1"/>
  <c r="M477" i="9"/>
  <c r="L477" i="9"/>
  <c r="N477" i="9" s="1"/>
  <c r="L476" i="9"/>
  <c r="M475" i="9"/>
  <c r="M473" i="9" s="1"/>
  <c r="N474" i="9"/>
  <c r="K472" i="9"/>
  <c r="K471" i="9"/>
  <c r="K470" i="9"/>
  <c r="K469" i="9"/>
  <c r="K468" i="9"/>
  <c r="J466" i="9"/>
  <c r="I466" i="9"/>
  <c r="M461" i="9"/>
  <c r="L461" i="9"/>
  <c r="L460" i="9"/>
  <c r="N458" i="9"/>
  <c r="J457" i="9"/>
  <c r="I456" i="9"/>
  <c r="K456" i="9" s="1"/>
  <c r="I455" i="9"/>
  <c r="I454" i="9"/>
  <c r="K454" i="9" s="1"/>
  <c r="I453" i="9"/>
  <c r="K453" i="9" s="1"/>
  <c r="M448" i="9"/>
  <c r="M446" i="9" s="1"/>
  <c r="M444" i="9" s="1"/>
  <c r="L448" i="9"/>
  <c r="N448" i="9" s="1"/>
  <c r="L447" i="9"/>
  <c r="N445" i="9"/>
  <c r="J444" i="9"/>
  <c r="I441" i="9"/>
  <c r="K441" i="9" s="1"/>
  <c r="I440" i="9"/>
  <c r="I426" i="9" s="1"/>
  <c r="K426" i="9" s="1"/>
  <c r="M430" i="9"/>
  <c r="M428" i="9" s="1"/>
  <c r="M426" i="9" s="1"/>
  <c r="L430" i="9"/>
  <c r="L429" i="9"/>
  <c r="N427" i="9"/>
  <c r="J426" i="9"/>
  <c r="K425" i="9"/>
  <c r="K424" i="9"/>
  <c r="K423" i="9"/>
  <c r="K422" i="9"/>
  <c r="K421" i="9"/>
  <c r="K420" i="9"/>
  <c r="J419" i="9"/>
  <c r="J418" i="9"/>
  <c r="K417" i="9"/>
  <c r="J417" i="9"/>
  <c r="I419" i="9" s="1"/>
  <c r="K419" i="9" s="1"/>
  <c r="K416" i="9"/>
  <c r="J416" i="9"/>
  <c r="I418" i="9" s="1"/>
  <c r="K418" i="9" s="1"/>
  <c r="K415" i="9"/>
  <c r="J415" i="9"/>
  <c r="K414" i="9"/>
  <c r="J414" i="9"/>
  <c r="K413" i="9"/>
  <c r="J413" i="9"/>
  <c r="K412" i="9"/>
  <c r="J412" i="9"/>
  <c r="I411" i="9"/>
  <c r="K411" i="9" s="1"/>
  <c r="I410" i="9"/>
  <c r="K410" i="9" s="1"/>
  <c r="I409" i="9"/>
  <c r="K409" i="9" s="1"/>
  <c r="K408" i="9"/>
  <c r="K407" i="9"/>
  <c r="K406" i="9"/>
  <c r="K405" i="9"/>
  <c r="K404" i="9"/>
  <c r="K403" i="9"/>
  <c r="K402" i="9"/>
  <c r="J402" i="9"/>
  <c r="K401" i="9"/>
  <c r="J401" i="9"/>
  <c r="K400" i="9"/>
  <c r="K399" i="9"/>
  <c r="K398" i="9"/>
  <c r="K397" i="9"/>
  <c r="K396" i="9"/>
  <c r="K395" i="9"/>
  <c r="K394" i="9"/>
  <c r="J394" i="9"/>
  <c r="J392" i="9" s="1"/>
  <c r="K393" i="9"/>
  <c r="J393" i="9"/>
  <c r="I392" i="9"/>
  <c r="K392" i="9" s="1"/>
  <c r="I391" i="9"/>
  <c r="K391" i="9" s="1"/>
  <c r="I390" i="9"/>
  <c r="K390" i="9" s="1"/>
  <c r="K389" i="9"/>
  <c r="K388" i="9"/>
  <c r="K387" i="9"/>
  <c r="K386" i="9"/>
  <c r="K385" i="9"/>
  <c r="K384" i="9"/>
  <c r="K383" i="9"/>
  <c r="J383" i="9"/>
  <c r="K382" i="9"/>
  <c r="J382" i="9"/>
  <c r="K381" i="9"/>
  <c r="K380" i="9"/>
  <c r="K379" i="9"/>
  <c r="K378" i="9"/>
  <c r="J377" i="9"/>
  <c r="J376" i="9"/>
  <c r="J359" i="9" s="1"/>
  <c r="J350" i="9" s="1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J360" i="9"/>
  <c r="I359" i="9"/>
  <c r="I350" i="9" s="1"/>
  <c r="K350" i="9" s="1"/>
  <c r="M354" i="9"/>
  <c r="M352" i="9" s="1"/>
  <c r="M350" i="9" s="1"/>
  <c r="L354" i="9"/>
  <c r="L353" i="9"/>
  <c r="N351" i="9"/>
  <c r="I347" i="9"/>
  <c r="K347" i="9" s="1"/>
  <c r="I346" i="9"/>
  <c r="I345" i="9"/>
  <c r="K345" i="9" s="1"/>
  <c r="J344" i="9"/>
  <c r="J330" i="9" s="1"/>
  <c r="M334" i="9"/>
  <c r="L334" i="9"/>
  <c r="L333" i="9"/>
  <c r="N333" i="9" s="1"/>
  <c r="M332" i="9"/>
  <c r="M330" i="9" s="1"/>
  <c r="N331" i="9"/>
  <c r="I327" i="9"/>
  <c r="K327" i="9" s="1"/>
  <c r="I326" i="9"/>
  <c r="I324" i="9"/>
  <c r="K324" i="9" s="1"/>
  <c r="I323" i="9"/>
  <c r="K323" i="9" s="1"/>
  <c r="I322" i="9"/>
  <c r="K322" i="9" s="1"/>
  <c r="I321" i="9"/>
  <c r="I320" i="9"/>
  <c r="K320" i="9" s="1"/>
  <c r="I319" i="9"/>
  <c r="I318" i="9"/>
  <c r="K318" i="9" s="1"/>
  <c r="I317" i="9"/>
  <c r="K317" i="9" s="1"/>
  <c r="I316" i="9"/>
  <c r="I315" i="9"/>
  <c r="K315" i="9" s="1"/>
  <c r="I314" i="9"/>
  <c r="I313" i="9"/>
  <c r="I312" i="9"/>
  <c r="M301" i="9"/>
  <c r="M299" i="9" s="1"/>
  <c r="L301" i="9"/>
  <c r="N301" i="9" s="1"/>
  <c r="L300" i="9"/>
  <c r="N298" i="9"/>
  <c r="M296" i="9"/>
  <c r="J296" i="9"/>
  <c r="I293" i="9"/>
  <c r="K293" i="9" s="1"/>
  <c r="I292" i="9"/>
  <c r="I291" i="9"/>
  <c r="K291" i="9" s="1"/>
  <c r="M280" i="9"/>
  <c r="L280" i="9"/>
  <c r="L279" i="9"/>
  <c r="N279" i="9" s="1"/>
  <c r="N277" i="9"/>
  <c r="J276" i="9"/>
  <c r="J275" i="9"/>
  <c r="I272" i="9"/>
  <c r="K272" i="9" s="1"/>
  <c r="I271" i="9"/>
  <c r="J270" i="9"/>
  <c r="I268" i="9"/>
  <c r="K268" i="9" s="1"/>
  <c r="I266" i="9"/>
  <c r="I264" i="9"/>
  <c r="K264" i="9" s="1"/>
  <c r="J263" i="9"/>
  <c r="J245" i="9" s="1"/>
  <c r="I263" i="9"/>
  <c r="I245" i="9" s="1"/>
  <c r="K245" i="9" s="1"/>
  <c r="J262" i="9"/>
  <c r="I260" i="9"/>
  <c r="K260" i="9" s="1"/>
  <c r="J259" i="9"/>
  <c r="M249" i="9"/>
  <c r="L249" i="9"/>
  <c r="L248" i="9"/>
  <c r="N248" i="9" s="1"/>
  <c r="N246" i="9"/>
  <c r="J244" i="9"/>
  <c r="K241" i="9"/>
  <c r="J241" i="9"/>
  <c r="J240" i="9"/>
  <c r="J228" i="9" s="1"/>
  <c r="I240" i="9"/>
  <c r="K239" i="9"/>
  <c r="J239" i="9"/>
  <c r="J238" i="9"/>
  <c r="I238" i="9"/>
  <c r="K237" i="9"/>
  <c r="J237" i="9"/>
  <c r="J236" i="9"/>
  <c r="I236" i="9"/>
  <c r="I228" i="9" s="1"/>
  <c r="J235" i="9"/>
  <c r="I235" i="9"/>
  <c r="K234" i="9"/>
  <c r="J234" i="9"/>
  <c r="L232" i="9"/>
  <c r="N232" i="9" s="1"/>
  <c r="L231" i="9"/>
  <c r="N231" i="9" s="1"/>
  <c r="M230" i="9"/>
  <c r="N229" i="9"/>
  <c r="M228" i="9"/>
  <c r="I224" i="9"/>
  <c r="L218" i="9"/>
  <c r="N218" i="9" s="1"/>
  <c r="N217" i="9"/>
  <c r="M216" i="9"/>
  <c r="N215" i="9"/>
  <c r="M214" i="9"/>
  <c r="J214" i="9"/>
  <c r="I211" i="9"/>
  <c r="K211" i="9" s="1"/>
  <c r="I209" i="9"/>
  <c r="I199" i="9" s="1"/>
  <c r="K199" i="9" s="1"/>
  <c r="L203" i="9"/>
  <c r="N203" i="9" s="1"/>
  <c r="N202" i="9"/>
  <c r="M201" i="9"/>
  <c r="N200" i="9"/>
  <c r="M199" i="9"/>
  <c r="J199" i="9"/>
  <c r="I195" i="9"/>
  <c r="L189" i="9"/>
  <c r="N189" i="9" s="1"/>
  <c r="L188" i="9"/>
  <c r="M187" i="9"/>
  <c r="N186" i="9"/>
  <c r="M185" i="9"/>
  <c r="J185" i="9"/>
  <c r="I182" i="9"/>
  <c r="K182" i="9" s="1"/>
  <c r="I181" i="9"/>
  <c r="K181" i="9" s="1"/>
  <c r="I180" i="9"/>
  <c r="I179" i="9"/>
  <c r="K179" i="9" s="1"/>
  <c r="L173" i="9"/>
  <c r="L172" i="9"/>
  <c r="N172" i="9" s="1"/>
  <c r="M171" i="9"/>
  <c r="M169" i="9" s="1"/>
  <c r="N170" i="9"/>
  <c r="J169" i="9"/>
  <c r="K164" i="9"/>
  <c r="J158" i="9"/>
  <c r="I158" i="9"/>
  <c r="K158" i="9" s="1"/>
  <c r="I155" i="9"/>
  <c r="J149" i="9"/>
  <c r="J144" i="9" s="1"/>
  <c r="L148" i="9"/>
  <c r="N148" i="9" s="1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M131" i="9"/>
  <c r="N130" i="9"/>
  <c r="M129" i="9"/>
  <c r="J129" i="9"/>
  <c r="I129" i="9"/>
  <c r="K129" i="9" s="1"/>
  <c r="L126" i="9"/>
  <c r="N126" i="9" s="1"/>
  <c r="I126" i="9"/>
  <c r="L125" i="9"/>
  <c r="N125" i="9" s="1"/>
  <c r="I125" i="9"/>
  <c r="I114" i="9" s="1"/>
  <c r="I124" i="9"/>
  <c r="K124" i="9" s="1"/>
  <c r="L117" i="9"/>
  <c r="M116" i="9"/>
  <c r="N115" i="9"/>
  <c r="M114" i="9"/>
  <c r="J114" i="9"/>
  <c r="L111" i="9"/>
  <c r="N111" i="9" s="1"/>
  <c r="I111" i="9"/>
  <c r="K111" i="9" s="1"/>
  <c r="L110" i="9"/>
  <c r="N110" i="9" s="1"/>
  <c r="I110" i="9"/>
  <c r="K110" i="9" s="1"/>
  <c r="L104" i="9"/>
  <c r="M103" i="9"/>
  <c r="N102" i="9"/>
  <c r="M101" i="9"/>
  <c r="J101" i="9"/>
  <c r="L98" i="9"/>
  <c r="N98" i="9" s="1"/>
  <c r="I98" i="9"/>
  <c r="L92" i="9"/>
  <c r="M91" i="9"/>
  <c r="N90" i="9"/>
  <c r="M89" i="9"/>
  <c r="J89" i="9"/>
  <c r="J84" i="9"/>
  <c r="I83" i="9"/>
  <c r="L77" i="9"/>
  <c r="M76" i="9"/>
  <c r="M74" i="9" s="1"/>
  <c r="N75" i="9"/>
  <c r="J74" i="9"/>
  <c r="M73" i="9"/>
  <c r="M71" i="9" s="1"/>
  <c r="L72" i="9"/>
  <c r="N72" i="9" s="1"/>
  <c r="N70" i="9"/>
  <c r="M68" i="9"/>
  <c r="J68" i="9"/>
  <c r="I62" i="9"/>
  <c r="L56" i="9"/>
  <c r="N56" i="9" s="1"/>
  <c r="L55" i="9"/>
  <c r="M54" i="9"/>
  <c r="M52" i="9" s="1"/>
  <c r="N53" i="9"/>
  <c r="J52" i="9"/>
  <c r="I48" i="9"/>
  <c r="I47" i="9"/>
  <c r="K47" i="9" s="1"/>
  <c r="I46" i="9"/>
  <c r="K46" i="9" s="1"/>
  <c r="I45" i="9"/>
  <c r="K45" i="9" s="1"/>
  <c r="I44" i="9"/>
  <c r="I43" i="9"/>
  <c r="K43" i="9" s="1"/>
  <c r="L37" i="9"/>
  <c r="N37" i="9" s="1"/>
  <c r="L36" i="9"/>
  <c r="N36" i="9" s="1"/>
  <c r="M35" i="9"/>
  <c r="M32" i="9" s="1"/>
  <c r="L35" i="9"/>
  <c r="N34" i="9"/>
  <c r="J33" i="9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I22" i="9"/>
  <c r="J21" i="9"/>
  <c r="J20" i="9"/>
  <c r="J9" i="9" s="1"/>
  <c r="L14" i="9"/>
  <c r="N14" i="9" s="1"/>
  <c r="L13" i="9"/>
  <c r="N13" i="9" s="1"/>
  <c r="M12" i="9"/>
  <c r="L12" i="9"/>
  <c r="N12" i="9" s="1"/>
  <c r="N11" i="9"/>
  <c r="J10" i="9"/>
  <c r="M9" i="9"/>
  <c r="J528" i="8"/>
  <c r="I528" i="8"/>
  <c r="J527" i="8"/>
  <c r="I527" i="8"/>
  <c r="J526" i="8"/>
  <c r="I526" i="8"/>
  <c r="J525" i="8"/>
  <c r="I525" i="8"/>
  <c r="K525" i="8" s="1"/>
  <c r="J524" i="8"/>
  <c r="I524" i="8"/>
  <c r="J523" i="8"/>
  <c r="I523" i="8"/>
  <c r="J522" i="8"/>
  <c r="I522" i="8"/>
  <c r="J521" i="8"/>
  <c r="I521" i="8"/>
  <c r="J517" i="8"/>
  <c r="I517" i="8"/>
  <c r="J514" i="8"/>
  <c r="I514" i="8"/>
  <c r="J513" i="8"/>
  <c r="I513" i="8"/>
  <c r="J510" i="8"/>
  <c r="J504" i="8" s="1"/>
  <c r="I510" i="8"/>
  <c r="I504" i="8"/>
  <c r="K508" i="8" s="1"/>
  <c r="M494" i="8"/>
  <c r="L494" i="8"/>
  <c r="N494" i="8" s="1"/>
  <c r="L493" i="8"/>
  <c r="M492" i="8"/>
  <c r="M490" i="8" s="1"/>
  <c r="N491" i="8"/>
  <c r="J489" i="8"/>
  <c r="I489" i="8"/>
  <c r="K489" i="8" s="1"/>
  <c r="J488" i="8"/>
  <c r="J473" i="8" s="1"/>
  <c r="I488" i="8"/>
  <c r="J487" i="8"/>
  <c r="I487" i="8"/>
  <c r="K487" i="8" s="1"/>
  <c r="J486" i="8"/>
  <c r="I486" i="8"/>
  <c r="J485" i="8"/>
  <c r="I485" i="8"/>
  <c r="K485" i="8" s="1"/>
  <c r="J484" i="8"/>
  <c r="I484" i="8"/>
  <c r="J483" i="8"/>
  <c r="I483" i="8"/>
  <c r="K483" i="8" s="1"/>
  <c r="J482" i="8"/>
  <c r="I482" i="8"/>
  <c r="M477" i="8"/>
  <c r="L477" i="8"/>
  <c r="L476" i="8"/>
  <c r="N476" i="8" s="1"/>
  <c r="N474" i="8"/>
  <c r="K472" i="8"/>
  <c r="K471" i="8"/>
  <c r="K470" i="8"/>
  <c r="K469" i="8"/>
  <c r="K468" i="8"/>
  <c r="J466" i="8"/>
  <c r="J457" i="8" s="1"/>
  <c r="I466" i="8"/>
  <c r="M461" i="8"/>
  <c r="L461" i="8"/>
  <c r="N461" i="8" s="1"/>
  <c r="L460" i="8"/>
  <c r="M459" i="8"/>
  <c r="N458" i="8"/>
  <c r="M457" i="8"/>
  <c r="I456" i="8"/>
  <c r="K456" i="8" s="1"/>
  <c r="I455" i="8"/>
  <c r="K455" i="8" s="1"/>
  <c r="I454" i="8"/>
  <c r="K454" i="8" s="1"/>
  <c r="I453" i="8"/>
  <c r="M448" i="8"/>
  <c r="M446" i="8" s="1"/>
  <c r="M444" i="8" s="1"/>
  <c r="L448" i="8"/>
  <c r="N448" i="8" s="1"/>
  <c r="L447" i="8"/>
  <c r="N447" i="8" s="1"/>
  <c r="N445" i="8"/>
  <c r="J444" i="8"/>
  <c r="I441" i="8"/>
  <c r="K441" i="8" s="1"/>
  <c r="I440" i="8"/>
  <c r="K440" i="8" s="1"/>
  <c r="M430" i="8"/>
  <c r="M428" i="8" s="1"/>
  <c r="M426" i="8" s="1"/>
  <c r="L430" i="8"/>
  <c r="L429" i="8"/>
  <c r="N427" i="8"/>
  <c r="J426" i="8"/>
  <c r="K425" i="8"/>
  <c r="K424" i="8"/>
  <c r="K423" i="8"/>
  <c r="K422" i="8"/>
  <c r="K421" i="8"/>
  <c r="K420" i="8"/>
  <c r="J419" i="8"/>
  <c r="J418" i="8"/>
  <c r="K417" i="8"/>
  <c r="J417" i="8"/>
  <c r="I419" i="8" s="1"/>
  <c r="K419" i="8" s="1"/>
  <c r="K416" i="8"/>
  <c r="J416" i="8"/>
  <c r="I418" i="8" s="1"/>
  <c r="K418" i="8" s="1"/>
  <c r="K415" i="8"/>
  <c r="J415" i="8"/>
  <c r="K414" i="8"/>
  <c r="J414" i="8"/>
  <c r="K413" i="8"/>
  <c r="J413" i="8"/>
  <c r="K412" i="8"/>
  <c r="J412" i="8"/>
  <c r="I411" i="8"/>
  <c r="K411" i="8" s="1"/>
  <c r="I410" i="8"/>
  <c r="K410" i="8" s="1"/>
  <c r="I409" i="8"/>
  <c r="K409" i="8" s="1"/>
  <c r="K408" i="8"/>
  <c r="K407" i="8"/>
  <c r="K406" i="8"/>
  <c r="K405" i="8"/>
  <c r="K404" i="8"/>
  <c r="K403" i="8"/>
  <c r="K402" i="8"/>
  <c r="J402" i="8"/>
  <c r="K401" i="8"/>
  <c r="J401" i="8"/>
  <c r="K400" i="8"/>
  <c r="K399" i="8"/>
  <c r="K398" i="8"/>
  <c r="K397" i="8"/>
  <c r="K396" i="8"/>
  <c r="K395" i="8"/>
  <c r="K394" i="8"/>
  <c r="J394" i="8"/>
  <c r="K393" i="8"/>
  <c r="J393" i="8"/>
  <c r="J392" i="8"/>
  <c r="I392" i="8"/>
  <c r="K392" i="8" s="1"/>
  <c r="J391" i="8"/>
  <c r="J390" i="8" s="1"/>
  <c r="I391" i="8"/>
  <c r="K391" i="8" s="1"/>
  <c r="I390" i="8"/>
  <c r="K389" i="8"/>
  <c r="K388" i="8"/>
  <c r="K387" i="8"/>
  <c r="K386" i="8"/>
  <c r="K385" i="8"/>
  <c r="K384" i="8"/>
  <c r="K383" i="8"/>
  <c r="J383" i="8"/>
  <c r="K382" i="8"/>
  <c r="J382" i="8"/>
  <c r="J376" i="8" s="1"/>
  <c r="K381" i="8"/>
  <c r="K380" i="8"/>
  <c r="K379" i="8"/>
  <c r="K378" i="8"/>
  <c r="J377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I369" i="8" s="1"/>
  <c r="K369" i="8" s="1"/>
  <c r="J360" i="8"/>
  <c r="J359" i="8"/>
  <c r="I359" i="8"/>
  <c r="I360" i="8" s="1"/>
  <c r="K360" i="8" s="1"/>
  <c r="M354" i="8"/>
  <c r="L354" i="8"/>
  <c r="N354" i="8" s="1"/>
  <c r="L353" i="8"/>
  <c r="M352" i="8"/>
  <c r="M350" i="8" s="1"/>
  <c r="N351" i="8"/>
  <c r="J350" i="8"/>
  <c r="I347" i="8"/>
  <c r="K347" i="8" s="1"/>
  <c r="I346" i="8"/>
  <c r="K346" i="8" s="1"/>
  <c r="I345" i="8"/>
  <c r="J344" i="8"/>
  <c r="J330" i="8" s="1"/>
  <c r="M334" i="8"/>
  <c r="L334" i="8"/>
  <c r="L333" i="8"/>
  <c r="M332" i="8"/>
  <c r="M330" i="8" s="1"/>
  <c r="N331" i="8"/>
  <c r="I327" i="8"/>
  <c r="K327" i="8" s="1"/>
  <c r="I326" i="8"/>
  <c r="K326" i="8" s="1"/>
  <c r="I324" i="8"/>
  <c r="K324" i="8" s="1"/>
  <c r="I323" i="8"/>
  <c r="I322" i="8"/>
  <c r="K322" i="8" s="1"/>
  <c r="I321" i="8"/>
  <c r="I320" i="8"/>
  <c r="K320" i="8" s="1"/>
  <c r="I319" i="8"/>
  <c r="K319" i="8" s="1"/>
  <c r="I318" i="8"/>
  <c r="I317" i="8"/>
  <c r="I316" i="8"/>
  <c r="I315" i="8"/>
  <c r="K315" i="8" s="1"/>
  <c r="I314" i="8"/>
  <c r="I313" i="8"/>
  <c r="K313" i="8" s="1"/>
  <c r="I312" i="8"/>
  <c r="M301" i="8"/>
  <c r="L301" i="8"/>
  <c r="N301" i="8" s="1"/>
  <c r="L300" i="8"/>
  <c r="N300" i="8" s="1"/>
  <c r="M299" i="8"/>
  <c r="M296" i="8" s="1"/>
  <c r="N298" i="8"/>
  <c r="J296" i="8"/>
  <c r="I293" i="8"/>
  <c r="K293" i="8" s="1"/>
  <c r="I292" i="8"/>
  <c r="I291" i="8"/>
  <c r="M280" i="8"/>
  <c r="L280" i="8"/>
  <c r="N280" i="8" s="1"/>
  <c r="L279" i="8"/>
  <c r="N279" i="8" s="1"/>
  <c r="M278" i="8"/>
  <c r="M275" i="8" s="1"/>
  <c r="N277" i="8"/>
  <c r="J276" i="8"/>
  <c r="J275" i="8"/>
  <c r="I272" i="8"/>
  <c r="I271" i="8"/>
  <c r="K271" i="8" s="1"/>
  <c r="J270" i="8"/>
  <c r="J244" i="8" s="1"/>
  <c r="I268" i="8"/>
  <c r="K268" i="8" s="1"/>
  <c r="I266" i="8"/>
  <c r="I264" i="8"/>
  <c r="K264" i="8" s="1"/>
  <c r="J263" i="8"/>
  <c r="I263" i="8"/>
  <c r="I265" i="8" s="1"/>
  <c r="K265" i="8" s="1"/>
  <c r="J262" i="8"/>
  <c r="I260" i="8"/>
  <c r="K260" i="8" s="1"/>
  <c r="M249" i="8"/>
  <c r="L249" i="8"/>
  <c r="N249" i="8" s="1"/>
  <c r="L248" i="8"/>
  <c r="M247" i="8"/>
  <c r="M244" i="8" s="1"/>
  <c r="N246" i="8"/>
  <c r="K241" i="8"/>
  <c r="J241" i="8"/>
  <c r="J240" i="8"/>
  <c r="J228" i="8" s="1"/>
  <c r="I240" i="8"/>
  <c r="K239" i="8"/>
  <c r="J239" i="8"/>
  <c r="J238" i="8"/>
  <c r="I238" i="8"/>
  <c r="K237" i="8"/>
  <c r="J237" i="8"/>
  <c r="J236" i="8"/>
  <c r="I236" i="8"/>
  <c r="J235" i="8"/>
  <c r="I235" i="8"/>
  <c r="K234" i="8"/>
  <c r="J234" i="8"/>
  <c r="L232" i="8"/>
  <c r="N232" i="8" s="1"/>
  <c r="L231" i="8"/>
  <c r="M230" i="8"/>
  <c r="N229" i="8"/>
  <c r="M228" i="8"/>
  <c r="I224" i="8"/>
  <c r="L218" i="8"/>
  <c r="N218" i="8" s="1"/>
  <c r="N217" i="8"/>
  <c r="M216" i="8"/>
  <c r="N215" i="8"/>
  <c r="M214" i="8"/>
  <c r="J214" i="8"/>
  <c r="I211" i="8"/>
  <c r="K211" i="8" s="1"/>
  <c r="I209" i="8"/>
  <c r="K209" i="8" s="1"/>
  <c r="L203" i="8"/>
  <c r="N202" i="8"/>
  <c r="M201" i="8"/>
  <c r="M199" i="8" s="1"/>
  <c r="M199" i="1" s="1"/>
  <c r="N200" i="8"/>
  <c r="J199" i="8"/>
  <c r="I195" i="8"/>
  <c r="K195" i="8" s="1"/>
  <c r="L189" i="8"/>
  <c r="N189" i="8" s="1"/>
  <c r="L188" i="8"/>
  <c r="M187" i="8"/>
  <c r="M185" i="8" s="1"/>
  <c r="N186" i="8"/>
  <c r="J185" i="8"/>
  <c r="I185" i="8"/>
  <c r="K185" i="8" s="1"/>
  <c r="I182" i="8"/>
  <c r="K182" i="8" s="1"/>
  <c r="I181" i="8"/>
  <c r="K181" i="8" s="1"/>
  <c r="I180" i="8"/>
  <c r="I179" i="8"/>
  <c r="K179" i="8" s="1"/>
  <c r="L173" i="8"/>
  <c r="N173" i="8" s="1"/>
  <c r="L172" i="8"/>
  <c r="M171" i="8"/>
  <c r="M169" i="8" s="1"/>
  <c r="N170" i="8"/>
  <c r="J169" i="8"/>
  <c r="K164" i="8"/>
  <c r="J158" i="8"/>
  <c r="I158" i="8"/>
  <c r="K158" i="8" s="1"/>
  <c r="I155" i="8"/>
  <c r="J149" i="8"/>
  <c r="J144" i="8" s="1"/>
  <c r="L148" i="8"/>
  <c r="N148" i="8" s="1"/>
  <c r="N147" i="8"/>
  <c r="M146" i="8"/>
  <c r="M144" i="8" s="1"/>
  <c r="M144" i="1" s="1"/>
  <c r="N145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N132" i="8" s="1"/>
  <c r="M131" i="8"/>
  <c r="N130" i="8"/>
  <c r="M129" i="8"/>
  <c r="J129" i="8"/>
  <c r="L126" i="8"/>
  <c r="N126" i="8" s="1"/>
  <c r="I126" i="8"/>
  <c r="K126" i="8" s="1"/>
  <c r="L125" i="8"/>
  <c r="N125" i="8" s="1"/>
  <c r="I125" i="8"/>
  <c r="I124" i="8"/>
  <c r="K124" i="8" s="1"/>
  <c r="L117" i="8"/>
  <c r="M116" i="8"/>
  <c r="N115" i="8"/>
  <c r="M114" i="8"/>
  <c r="J114" i="8"/>
  <c r="L111" i="8"/>
  <c r="N111" i="8" s="1"/>
  <c r="I111" i="8"/>
  <c r="K111" i="8" s="1"/>
  <c r="L110" i="8"/>
  <c r="N110" i="8" s="1"/>
  <c r="I110" i="8"/>
  <c r="K110" i="8" s="1"/>
  <c r="L104" i="8"/>
  <c r="M103" i="8"/>
  <c r="M101" i="8" s="1"/>
  <c r="N102" i="8"/>
  <c r="J101" i="8"/>
  <c r="L98" i="8"/>
  <c r="N98" i="8" s="1"/>
  <c r="I98" i="8"/>
  <c r="K98" i="8" s="1"/>
  <c r="L92" i="8"/>
  <c r="M91" i="8"/>
  <c r="M89" i="8" s="1"/>
  <c r="N90" i="8"/>
  <c r="J89" i="8"/>
  <c r="J84" i="8"/>
  <c r="I83" i="8"/>
  <c r="L77" i="8"/>
  <c r="M76" i="8"/>
  <c r="N75" i="8"/>
  <c r="J74" i="8"/>
  <c r="M73" i="8"/>
  <c r="L72" i="8"/>
  <c r="M71" i="8"/>
  <c r="M68" i="8" s="1"/>
  <c r="N70" i="8"/>
  <c r="J68" i="8"/>
  <c r="I62" i="8"/>
  <c r="L56" i="8"/>
  <c r="N56" i="8" s="1"/>
  <c r="L55" i="8"/>
  <c r="M54" i="8"/>
  <c r="M52" i="8" s="1"/>
  <c r="N53" i="8"/>
  <c r="J52" i="8"/>
  <c r="I48" i="8"/>
  <c r="I47" i="8"/>
  <c r="K47" i="8" s="1"/>
  <c r="I46" i="8"/>
  <c r="K46" i="8" s="1"/>
  <c r="I45" i="8"/>
  <c r="K45" i="8" s="1"/>
  <c r="I44" i="8"/>
  <c r="I43" i="8"/>
  <c r="K43" i="8" s="1"/>
  <c r="L37" i="8"/>
  <c r="N37" i="8" s="1"/>
  <c r="L36" i="8"/>
  <c r="N36" i="8" s="1"/>
  <c r="M35" i="8"/>
  <c r="M32" i="8" s="1"/>
  <c r="L35" i="8"/>
  <c r="L32" i="8" s="1"/>
  <c r="N34" i="8"/>
  <c r="J33" i="8"/>
  <c r="J32" i="8"/>
  <c r="K28" i="8"/>
  <c r="I27" i="8"/>
  <c r="K27" i="8" s="1"/>
  <c r="I26" i="8"/>
  <c r="K26" i="8" s="1"/>
  <c r="I25" i="8"/>
  <c r="K25" i="8" s="1"/>
  <c r="I24" i="8"/>
  <c r="K24" i="8" s="1"/>
  <c r="I23" i="8"/>
  <c r="I22" i="8"/>
  <c r="J21" i="8"/>
  <c r="J20" i="8"/>
  <c r="J9" i="8" s="1"/>
  <c r="L14" i="8"/>
  <c r="N14" i="8" s="1"/>
  <c r="L13" i="8"/>
  <c r="N13" i="8" s="1"/>
  <c r="M12" i="8"/>
  <c r="M9" i="8" s="1"/>
  <c r="L12" i="8"/>
  <c r="N12" i="8" s="1"/>
  <c r="N11" i="8"/>
  <c r="J10" i="8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17" i="7"/>
  <c r="I517" i="7"/>
  <c r="J514" i="7"/>
  <c r="J513" i="7" s="1"/>
  <c r="I514" i="7"/>
  <c r="I513" i="7"/>
  <c r="J510" i="7"/>
  <c r="J504" i="7" s="1"/>
  <c r="J490" i="7" s="1"/>
  <c r="I510" i="7"/>
  <c r="I504" i="7"/>
  <c r="K508" i="7" s="1"/>
  <c r="M494" i="7"/>
  <c r="M492" i="7" s="1"/>
  <c r="L494" i="7"/>
  <c r="L493" i="7"/>
  <c r="N493" i="7" s="1"/>
  <c r="N491" i="7"/>
  <c r="M490" i="7"/>
  <c r="K489" i="7"/>
  <c r="J489" i="7"/>
  <c r="J488" i="7"/>
  <c r="J473" i="7" s="1"/>
  <c r="I488" i="7"/>
  <c r="K488" i="7" s="1"/>
  <c r="K487" i="7"/>
  <c r="J487" i="7"/>
  <c r="J486" i="7"/>
  <c r="I486" i="7"/>
  <c r="K486" i="7" s="1"/>
  <c r="K485" i="7"/>
  <c r="J485" i="7"/>
  <c r="J484" i="7"/>
  <c r="I484" i="7"/>
  <c r="K483" i="7"/>
  <c r="J483" i="7"/>
  <c r="J482" i="7"/>
  <c r="I482" i="7"/>
  <c r="K482" i="7" s="1"/>
  <c r="M477" i="7"/>
  <c r="L477" i="7"/>
  <c r="N477" i="7" s="1"/>
  <c r="L476" i="7"/>
  <c r="M475" i="7"/>
  <c r="N474" i="7"/>
  <c r="M473" i="7"/>
  <c r="K472" i="7"/>
  <c r="K471" i="7"/>
  <c r="K470" i="7"/>
  <c r="K469" i="7"/>
  <c r="K468" i="7"/>
  <c r="J466" i="7"/>
  <c r="I466" i="7"/>
  <c r="I457" i="7" s="1"/>
  <c r="K457" i="7" s="1"/>
  <c r="M461" i="7"/>
  <c r="M459" i="7" s="1"/>
  <c r="M457" i="7" s="1"/>
  <c r="L461" i="7"/>
  <c r="N461" i="7" s="1"/>
  <c r="L460" i="7"/>
  <c r="N458" i="7"/>
  <c r="J457" i="7"/>
  <c r="I456" i="7"/>
  <c r="K456" i="7" s="1"/>
  <c r="I455" i="7"/>
  <c r="I454" i="7"/>
  <c r="K454" i="7" s="1"/>
  <c r="I453" i="7"/>
  <c r="K453" i="7" s="1"/>
  <c r="M448" i="7"/>
  <c r="L448" i="7"/>
  <c r="N448" i="7" s="1"/>
  <c r="L447" i="7"/>
  <c r="M446" i="7"/>
  <c r="M444" i="7" s="1"/>
  <c r="N445" i="7"/>
  <c r="J444" i="7"/>
  <c r="I441" i="7"/>
  <c r="K441" i="7" s="1"/>
  <c r="I440" i="7"/>
  <c r="M430" i="7"/>
  <c r="L430" i="7"/>
  <c r="N430" i="7" s="1"/>
  <c r="L429" i="7"/>
  <c r="M428" i="7"/>
  <c r="N427" i="7"/>
  <c r="M426" i="7"/>
  <c r="J426" i="7"/>
  <c r="K425" i="7"/>
  <c r="K424" i="7"/>
  <c r="K423" i="7"/>
  <c r="K422" i="7"/>
  <c r="K421" i="7"/>
  <c r="K420" i="7"/>
  <c r="J419" i="7"/>
  <c r="J418" i="7"/>
  <c r="K417" i="7"/>
  <c r="J417" i="7"/>
  <c r="I419" i="7" s="1"/>
  <c r="K419" i="7" s="1"/>
  <c r="K416" i="7"/>
  <c r="J416" i="7"/>
  <c r="I418" i="7" s="1"/>
  <c r="K418" i="7" s="1"/>
  <c r="K415" i="7"/>
  <c r="J415" i="7"/>
  <c r="K414" i="7"/>
  <c r="J414" i="7"/>
  <c r="K413" i="7"/>
  <c r="J413" i="7"/>
  <c r="K412" i="7"/>
  <c r="J412" i="7"/>
  <c r="I411" i="7"/>
  <c r="K411" i="7" s="1"/>
  <c r="I410" i="7"/>
  <c r="K410" i="7" s="1"/>
  <c r="I409" i="7"/>
  <c r="K409" i="7" s="1"/>
  <c r="K408" i="7"/>
  <c r="K407" i="7"/>
  <c r="K406" i="7"/>
  <c r="K405" i="7"/>
  <c r="K404" i="7"/>
  <c r="K403" i="7"/>
  <c r="K402" i="7"/>
  <c r="J402" i="7"/>
  <c r="K401" i="7"/>
  <c r="J401" i="7"/>
  <c r="K400" i="7"/>
  <c r="K399" i="7"/>
  <c r="K398" i="7"/>
  <c r="K397" i="7"/>
  <c r="K396" i="7"/>
  <c r="K395" i="7"/>
  <c r="K394" i="7"/>
  <c r="J394" i="7"/>
  <c r="J392" i="7" s="1"/>
  <c r="K393" i="7"/>
  <c r="J393" i="7"/>
  <c r="I392" i="7"/>
  <c r="I391" i="7"/>
  <c r="I390" i="7"/>
  <c r="K389" i="7"/>
  <c r="K388" i="7"/>
  <c r="K387" i="7"/>
  <c r="K386" i="7"/>
  <c r="K385" i="7"/>
  <c r="K384" i="7"/>
  <c r="K383" i="7"/>
  <c r="J383" i="7"/>
  <c r="K382" i="7"/>
  <c r="J382" i="7"/>
  <c r="K381" i="7"/>
  <c r="K380" i="7"/>
  <c r="K379" i="7"/>
  <c r="K378" i="7"/>
  <c r="J377" i="7"/>
  <c r="J376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J360" i="7"/>
  <c r="J359" i="7"/>
  <c r="J350" i="7" s="1"/>
  <c r="I359" i="7"/>
  <c r="M354" i="7"/>
  <c r="L354" i="7"/>
  <c r="L353" i="7"/>
  <c r="N353" i="7" s="1"/>
  <c r="M352" i="7"/>
  <c r="N351" i="7"/>
  <c r="M350" i="7"/>
  <c r="I347" i="7"/>
  <c r="K347" i="7" s="1"/>
  <c r="I346" i="7"/>
  <c r="K346" i="7" s="1"/>
  <c r="I345" i="7"/>
  <c r="J344" i="7"/>
  <c r="M334" i="7"/>
  <c r="M332" i="7" s="1"/>
  <c r="L334" i="7"/>
  <c r="L333" i="7"/>
  <c r="N333" i="7" s="1"/>
  <c r="N331" i="7"/>
  <c r="M330" i="7"/>
  <c r="J330" i="7"/>
  <c r="I327" i="7"/>
  <c r="K327" i="7" s="1"/>
  <c r="I326" i="7"/>
  <c r="I324" i="7"/>
  <c r="K324" i="7" s="1"/>
  <c r="I323" i="7"/>
  <c r="I322" i="7"/>
  <c r="K322" i="7" s="1"/>
  <c r="I321" i="7"/>
  <c r="I320" i="7"/>
  <c r="K320" i="7" s="1"/>
  <c r="I319" i="7"/>
  <c r="I318" i="7"/>
  <c r="K318" i="7" s="1"/>
  <c r="I317" i="7"/>
  <c r="K317" i="7" s="1"/>
  <c r="I316" i="7"/>
  <c r="I315" i="7"/>
  <c r="I314" i="7"/>
  <c r="K314" i="7" s="1"/>
  <c r="I313" i="7"/>
  <c r="K313" i="7" s="1"/>
  <c r="I312" i="7"/>
  <c r="M301" i="7"/>
  <c r="M299" i="7" s="1"/>
  <c r="L301" i="7"/>
  <c r="N301" i="7" s="1"/>
  <c r="L300" i="7"/>
  <c r="N300" i="7" s="1"/>
  <c r="N298" i="7"/>
  <c r="M296" i="7"/>
  <c r="J296" i="7"/>
  <c r="I293" i="7"/>
  <c r="K293" i="7" s="1"/>
  <c r="I292" i="7"/>
  <c r="I275" i="7" s="1"/>
  <c r="K275" i="7" s="1"/>
  <c r="I291" i="7"/>
  <c r="M280" i="7"/>
  <c r="M278" i="7" s="1"/>
  <c r="L280" i="7"/>
  <c r="L279" i="7"/>
  <c r="N279" i="7" s="1"/>
  <c r="N277" i="7"/>
  <c r="J276" i="7"/>
  <c r="M275" i="7"/>
  <c r="J275" i="7"/>
  <c r="I272" i="7"/>
  <c r="K272" i="7" s="1"/>
  <c r="I271" i="7"/>
  <c r="J270" i="7"/>
  <c r="I268" i="7"/>
  <c r="K268" i="7" s="1"/>
  <c r="I266" i="7"/>
  <c r="K266" i="7" s="1"/>
  <c r="I264" i="7"/>
  <c r="K264" i="7" s="1"/>
  <c r="J263" i="7"/>
  <c r="I263" i="7"/>
  <c r="I267" i="7" s="1"/>
  <c r="K267" i="7" s="1"/>
  <c r="J262" i="7"/>
  <c r="I260" i="7"/>
  <c r="K260" i="7" s="1"/>
  <c r="M249" i="7"/>
  <c r="M247" i="7" s="1"/>
  <c r="M244" i="7" s="1"/>
  <c r="L249" i="7"/>
  <c r="L248" i="7"/>
  <c r="N246" i="7"/>
  <c r="J244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J235" i="7"/>
  <c r="I235" i="7"/>
  <c r="K234" i="7"/>
  <c r="J234" i="7"/>
  <c r="L232" i="7"/>
  <c r="N232" i="7" s="1"/>
  <c r="L231" i="7"/>
  <c r="M230" i="7"/>
  <c r="N229" i="7"/>
  <c r="M228" i="7"/>
  <c r="I224" i="7"/>
  <c r="K224" i="7" s="1"/>
  <c r="L218" i="7"/>
  <c r="N218" i="7" s="1"/>
  <c r="N217" i="7"/>
  <c r="M216" i="7"/>
  <c r="N215" i="7"/>
  <c r="M214" i="7"/>
  <c r="J214" i="7"/>
  <c r="I211" i="7"/>
  <c r="K211" i="7" s="1"/>
  <c r="I209" i="7"/>
  <c r="I199" i="7" s="1"/>
  <c r="K199" i="7" s="1"/>
  <c r="L203" i="7"/>
  <c r="N203" i="7" s="1"/>
  <c r="N202" i="7"/>
  <c r="M201" i="7"/>
  <c r="N200" i="7"/>
  <c r="M199" i="7"/>
  <c r="J199" i="7"/>
  <c r="I195" i="7"/>
  <c r="L189" i="7"/>
  <c r="N189" i="7" s="1"/>
  <c r="L188" i="7"/>
  <c r="M187" i="7"/>
  <c r="N186" i="7"/>
  <c r="M185" i="7"/>
  <c r="J185" i="7"/>
  <c r="J185" i="1" s="1"/>
  <c r="I182" i="7"/>
  <c r="K182" i="7" s="1"/>
  <c r="I181" i="7"/>
  <c r="K181" i="7" s="1"/>
  <c r="I180" i="7"/>
  <c r="K180" i="7" s="1"/>
  <c r="I179" i="7"/>
  <c r="K179" i="7" s="1"/>
  <c r="L173" i="7"/>
  <c r="N173" i="7" s="1"/>
  <c r="L172" i="7"/>
  <c r="M171" i="7"/>
  <c r="N170" i="7"/>
  <c r="M169" i="7"/>
  <c r="J169" i="7"/>
  <c r="K164" i="7"/>
  <c r="J158" i="7"/>
  <c r="I158" i="7"/>
  <c r="K158" i="7" s="1"/>
  <c r="I155" i="7"/>
  <c r="K155" i="7" s="1"/>
  <c r="J149" i="7"/>
  <c r="J144" i="7" s="1"/>
  <c r="L148" i="7"/>
  <c r="N148" i="7" s="1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L132" i="7"/>
  <c r="M131" i="7"/>
  <c r="N130" i="7"/>
  <c r="M129" i="7"/>
  <c r="J129" i="7"/>
  <c r="J68" i="7" s="1"/>
  <c r="L126" i="7"/>
  <c r="N126" i="7" s="1"/>
  <c r="I126" i="7"/>
  <c r="L125" i="7"/>
  <c r="N125" i="7" s="1"/>
  <c r="I125" i="7"/>
  <c r="K125" i="7" s="1"/>
  <c r="I124" i="7"/>
  <c r="K124" i="7" s="1"/>
  <c r="L117" i="7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N104" i="7" s="1"/>
  <c r="M103" i="7"/>
  <c r="N102" i="7"/>
  <c r="M101" i="7"/>
  <c r="J101" i="7"/>
  <c r="L98" i="7"/>
  <c r="N98" i="7" s="1"/>
  <c r="I98" i="7"/>
  <c r="L92" i="7"/>
  <c r="L91" i="7" s="1"/>
  <c r="M91" i="7"/>
  <c r="N90" i="7"/>
  <c r="M89" i="7"/>
  <c r="J89" i="7"/>
  <c r="J84" i="7"/>
  <c r="I83" i="7"/>
  <c r="L77" i="7"/>
  <c r="L76" i="7" s="1"/>
  <c r="M76" i="7"/>
  <c r="M74" i="7" s="1"/>
  <c r="N75" i="7"/>
  <c r="J74" i="7"/>
  <c r="M73" i="7"/>
  <c r="M71" i="7" s="1"/>
  <c r="M68" i="7" s="1"/>
  <c r="L72" i="7"/>
  <c r="N70" i="7"/>
  <c r="I62" i="7"/>
  <c r="I52" i="7" s="1"/>
  <c r="K52" i="7" s="1"/>
  <c r="L56" i="7"/>
  <c r="L55" i="7"/>
  <c r="N55" i="7" s="1"/>
  <c r="M54" i="7"/>
  <c r="N53" i="7"/>
  <c r="M52" i="7"/>
  <c r="J52" i="7"/>
  <c r="I48" i="7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L35" i="7"/>
  <c r="N34" i="7"/>
  <c r="J33" i="7"/>
  <c r="M32" i="7"/>
  <c r="J32" i="7"/>
  <c r="I28" i="7"/>
  <c r="K28" i="7" s="1"/>
  <c r="I27" i="7"/>
  <c r="K27" i="7" s="1"/>
  <c r="I26" i="7"/>
  <c r="K26" i="7" s="1"/>
  <c r="I25" i="7"/>
  <c r="K25" i="7" s="1"/>
  <c r="I24" i="7"/>
  <c r="K24" i="7" s="1"/>
  <c r="I23" i="7"/>
  <c r="K23" i="7" s="1"/>
  <c r="I22" i="7"/>
  <c r="K22" i="7" s="1"/>
  <c r="J21" i="7"/>
  <c r="J10" i="7" s="1"/>
  <c r="J20" i="7"/>
  <c r="L14" i="7"/>
  <c r="N14" i="7" s="1"/>
  <c r="L13" i="7"/>
  <c r="N13" i="7" s="1"/>
  <c r="M12" i="7"/>
  <c r="M9" i="7" s="1"/>
  <c r="M6" i="7" s="1"/>
  <c r="L12" i="7"/>
  <c r="N11" i="7"/>
  <c r="J9" i="7"/>
  <c r="J528" i="6"/>
  <c r="I528" i="6"/>
  <c r="J527" i="6"/>
  <c r="I527" i="6"/>
  <c r="J526" i="6"/>
  <c r="I526" i="6"/>
  <c r="K526" i="6" s="1"/>
  <c r="J525" i="6"/>
  <c r="I525" i="6"/>
  <c r="K525" i="6" s="1"/>
  <c r="J524" i="6"/>
  <c r="I524" i="6"/>
  <c r="J523" i="6"/>
  <c r="I523" i="6"/>
  <c r="J522" i="6"/>
  <c r="I522" i="6"/>
  <c r="J521" i="6"/>
  <c r="I521" i="6"/>
  <c r="J517" i="6"/>
  <c r="I517" i="6"/>
  <c r="J514" i="6"/>
  <c r="I514" i="6"/>
  <c r="J513" i="6"/>
  <c r="I513" i="6"/>
  <c r="J510" i="6"/>
  <c r="J504" i="6" s="1"/>
  <c r="I510" i="6"/>
  <c r="I504" i="6"/>
  <c r="K504" i="6" s="1"/>
  <c r="M494" i="6"/>
  <c r="L494" i="6"/>
  <c r="L493" i="6"/>
  <c r="N493" i="6" s="1"/>
  <c r="M492" i="6"/>
  <c r="M490" i="6" s="1"/>
  <c r="N491" i="6"/>
  <c r="J490" i="6"/>
  <c r="K489" i="6"/>
  <c r="J489" i="6"/>
  <c r="J488" i="6"/>
  <c r="J473" i="6" s="1"/>
  <c r="I488" i="6"/>
  <c r="K488" i="6" s="1"/>
  <c r="K487" i="6"/>
  <c r="J487" i="6"/>
  <c r="J486" i="6"/>
  <c r="I486" i="6"/>
  <c r="K486" i="6" s="1"/>
  <c r="K485" i="6"/>
  <c r="J485" i="6"/>
  <c r="J484" i="6"/>
  <c r="I484" i="6"/>
  <c r="K483" i="6"/>
  <c r="J483" i="6"/>
  <c r="J482" i="6"/>
  <c r="I482" i="6"/>
  <c r="K482" i="6" s="1"/>
  <c r="M477" i="6"/>
  <c r="L477" i="6"/>
  <c r="N477" i="6" s="1"/>
  <c r="L476" i="6"/>
  <c r="M475" i="6"/>
  <c r="N474" i="6"/>
  <c r="M473" i="6"/>
  <c r="K472" i="6"/>
  <c r="K471" i="6"/>
  <c r="K470" i="6"/>
  <c r="K469" i="6"/>
  <c r="K468" i="6"/>
  <c r="J466" i="6"/>
  <c r="I466" i="6"/>
  <c r="M461" i="6"/>
  <c r="L461" i="6"/>
  <c r="L460" i="6"/>
  <c r="N458" i="6"/>
  <c r="J457" i="6"/>
  <c r="I456" i="6"/>
  <c r="K456" i="6" s="1"/>
  <c r="I455" i="6"/>
  <c r="K455" i="6" s="1"/>
  <c r="I454" i="6"/>
  <c r="K454" i="6" s="1"/>
  <c r="I453" i="6"/>
  <c r="K453" i="6" s="1"/>
  <c r="M448" i="6"/>
  <c r="L448" i="6"/>
  <c r="N448" i="6" s="1"/>
  <c r="L447" i="6"/>
  <c r="M446" i="6"/>
  <c r="N445" i="6"/>
  <c r="M444" i="6"/>
  <c r="J444" i="6"/>
  <c r="I441" i="6"/>
  <c r="K441" i="6" s="1"/>
  <c r="I440" i="6"/>
  <c r="K440" i="6" s="1"/>
  <c r="M430" i="6"/>
  <c r="M428" i="6" s="1"/>
  <c r="M426" i="6" s="1"/>
  <c r="L430" i="6"/>
  <c r="L429" i="6"/>
  <c r="N429" i="6" s="1"/>
  <c r="N427" i="6"/>
  <c r="J426" i="6"/>
  <c r="K425" i="6"/>
  <c r="K424" i="6"/>
  <c r="K423" i="6"/>
  <c r="K422" i="6"/>
  <c r="K421" i="6"/>
  <c r="K420" i="6"/>
  <c r="J419" i="6"/>
  <c r="J418" i="6"/>
  <c r="K417" i="6"/>
  <c r="J417" i="6"/>
  <c r="I419" i="6" s="1"/>
  <c r="K419" i="6" s="1"/>
  <c r="K416" i="6"/>
  <c r="J416" i="6"/>
  <c r="I418" i="6" s="1"/>
  <c r="K418" i="6" s="1"/>
  <c r="K415" i="6"/>
  <c r="J415" i="6"/>
  <c r="K414" i="6"/>
  <c r="J414" i="6"/>
  <c r="K413" i="6"/>
  <c r="J413" i="6"/>
  <c r="K412" i="6"/>
  <c r="J412" i="6"/>
  <c r="I411" i="6"/>
  <c r="K411" i="6" s="1"/>
  <c r="I410" i="6"/>
  <c r="K410" i="6" s="1"/>
  <c r="I409" i="6"/>
  <c r="K409" i="6" s="1"/>
  <c r="K408" i="6"/>
  <c r="K407" i="6"/>
  <c r="K406" i="6"/>
  <c r="K405" i="6"/>
  <c r="K404" i="6"/>
  <c r="K403" i="6"/>
  <c r="K402" i="6"/>
  <c r="J402" i="6"/>
  <c r="K401" i="6"/>
  <c r="J401" i="6"/>
  <c r="K400" i="6"/>
  <c r="K399" i="6"/>
  <c r="K398" i="6"/>
  <c r="K397" i="6"/>
  <c r="K396" i="6"/>
  <c r="K395" i="6"/>
  <c r="K394" i="6"/>
  <c r="J394" i="6"/>
  <c r="J392" i="6" s="1"/>
  <c r="K393" i="6"/>
  <c r="J393" i="6"/>
  <c r="I392" i="6"/>
  <c r="K392" i="6" s="1"/>
  <c r="I391" i="6"/>
  <c r="K391" i="6" s="1"/>
  <c r="I390" i="6"/>
  <c r="K390" i="6" s="1"/>
  <c r="K389" i="6"/>
  <c r="K388" i="6"/>
  <c r="K387" i="6"/>
  <c r="K386" i="6"/>
  <c r="K385" i="6"/>
  <c r="K384" i="6"/>
  <c r="K383" i="6"/>
  <c r="J383" i="6"/>
  <c r="K382" i="6"/>
  <c r="J382" i="6"/>
  <c r="K381" i="6"/>
  <c r="K380" i="6"/>
  <c r="K379" i="6"/>
  <c r="K378" i="6"/>
  <c r="J377" i="6"/>
  <c r="J376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J360" i="6"/>
  <c r="J359" i="6"/>
  <c r="J350" i="6" s="1"/>
  <c r="I359" i="6"/>
  <c r="K359" i="6" s="1"/>
  <c r="M354" i="6"/>
  <c r="L354" i="6"/>
  <c r="N354" i="6" s="1"/>
  <c r="L353" i="6"/>
  <c r="M352" i="6"/>
  <c r="M350" i="6" s="1"/>
  <c r="N351" i="6"/>
  <c r="I347" i="6"/>
  <c r="K347" i="6" s="1"/>
  <c r="I346" i="6"/>
  <c r="K346" i="6" s="1"/>
  <c r="I345" i="6"/>
  <c r="J344" i="6"/>
  <c r="J330" i="6" s="1"/>
  <c r="M334" i="6"/>
  <c r="M332" i="6" s="1"/>
  <c r="M330" i="6" s="1"/>
  <c r="L334" i="6"/>
  <c r="L333" i="6"/>
  <c r="N331" i="6"/>
  <c r="I327" i="6"/>
  <c r="K327" i="6" s="1"/>
  <c r="I326" i="6"/>
  <c r="I324" i="6"/>
  <c r="K324" i="6" s="1"/>
  <c r="I323" i="6"/>
  <c r="K323" i="6" s="1"/>
  <c r="I322" i="6"/>
  <c r="K322" i="6" s="1"/>
  <c r="I321" i="6"/>
  <c r="I320" i="6"/>
  <c r="K320" i="6" s="1"/>
  <c r="I319" i="6"/>
  <c r="I318" i="6"/>
  <c r="K318" i="6" s="1"/>
  <c r="I317" i="6"/>
  <c r="K317" i="6" s="1"/>
  <c r="I316" i="6"/>
  <c r="I315" i="6"/>
  <c r="K315" i="6" s="1"/>
  <c r="I314" i="6"/>
  <c r="I313" i="6"/>
  <c r="K313" i="6" s="1"/>
  <c r="I312" i="6"/>
  <c r="M301" i="6"/>
  <c r="L301" i="6"/>
  <c r="L300" i="6"/>
  <c r="N298" i="6"/>
  <c r="J296" i="6"/>
  <c r="I293" i="6"/>
  <c r="K293" i="6" s="1"/>
  <c r="I292" i="6"/>
  <c r="I291" i="6"/>
  <c r="M280" i="6"/>
  <c r="M278" i="6" s="1"/>
  <c r="L280" i="6"/>
  <c r="N280" i="6" s="1"/>
  <c r="L279" i="6"/>
  <c r="N279" i="6" s="1"/>
  <c r="N277" i="6"/>
  <c r="J276" i="6"/>
  <c r="M275" i="6"/>
  <c r="J275" i="6"/>
  <c r="I272" i="6"/>
  <c r="K272" i="6" s="1"/>
  <c r="I271" i="6"/>
  <c r="J270" i="6"/>
  <c r="I268" i="6"/>
  <c r="K268" i="6" s="1"/>
  <c r="I266" i="6"/>
  <c r="K266" i="6" s="1"/>
  <c r="I264" i="6"/>
  <c r="K264" i="6" s="1"/>
  <c r="J263" i="6"/>
  <c r="J245" i="6" s="1"/>
  <c r="I263" i="6"/>
  <c r="I265" i="6" s="1"/>
  <c r="K265" i="6" s="1"/>
  <c r="J262" i="6"/>
  <c r="I260" i="6"/>
  <c r="K260" i="6" s="1"/>
  <c r="J259" i="6"/>
  <c r="M249" i="6"/>
  <c r="M247" i="6" s="1"/>
  <c r="L249" i="6"/>
  <c r="N249" i="6" s="1"/>
  <c r="L248" i="6"/>
  <c r="N246" i="6"/>
  <c r="M244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K224" i="6" s="1"/>
  <c r="L218" i="6"/>
  <c r="N218" i="6" s="1"/>
  <c r="N217" i="6"/>
  <c r="M216" i="6"/>
  <c r="N215" i="6"/>
  <c r="M214" i="6"/>
  <c r="J214" i="6"/>
  <c r="I211" i="6"/>
  <c r="K211" i="6" s="1"/>
  <c r="I209" i="6"/>
  <c r="L203" i="6"/>
  <c r="N202" i="6"/>
  <c r="M201" i="6"/>
  <c r="N200" i="6"/>
  <c r="M199" i="6"/>
  <c r="J199" i="6"/>
  <c r="I195" i="6"/>
  <c r="L189" i="6"/>
  <c r="N189" i="6" s="1"/>
  <c r="L188" i="6"/>
  <c r="M187" i="6"/>
  <c r="N186" i="6"/>
  <c r="M185" i="6"/>
  <c r="J185" i="6"/>
  <c r="I182" i="6"/>
  <c r="K182" i="6" s="1"/>
  <c r="I181" i="6"/>
  <c r="K181" i="6" s="1"/>
  <c r="I180" i="6"/>
  <c r="I179" i="6"/>
  <c r="K179" i="6" s="1"/>
  <c r="L173" i="6"/>
  <c r="N173" i="6" s="1"/>
  <c r="L172" i="6"/>
  <c r="N172" i="6" s="1"/>
  <c r="M171" i="6"/>
  <c r="M169" i="6" s="1"/>
  <c r="N170" i="6"/>
  <c r="J169" i="6"/>
  <c r="K164" i="6"/>
  <c r="J158" i="6"/>
  <c r="I158" i="6"/>
  <c r="K158" i="6" s="1"/>
  <c r="I155" i="6"/>
  <c r="I149" i="6" s="1"/>
  <c r="J149" i="6"/>
  <c r="L148" i="6"/>
  <c r="N148" i="6" s="1"/>
  <c r="N147" i="6"/>
  <c r="M146" i="6"/>
  <c r="N145" i="6"/>
  <c r="M144" i="6"/>
  <c r="J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I129" i="6" s="1"/>
  <c r="K129" i="6" s="1"/>
  <c r="L132" i="6"/>
  <c r="M131" i="6"/>
  <c r="N130" i="6"/>
  <c r="M129" i="6"/>
  <c r="J129" i="6"/>
  <c r="L126" i="6"/>
  <c r="N126" i="6" s="1"/>
  <c r="I126" i="6"/>
  <c r="L125" i="6"/>
  <c r="N125" i="6" s="1"/>
  <c r="I125" i="6"/>
  <c r="I124" i="6"/>
  <c r="K124" i="6" s="1"/>
  <c r="L117" i="6"/>
  <c r="M116" i="6"/>
  <c r="N115" i="6"/>
  <c r="M114" i="6"/>
  <c r="J114" i="6"/>
  <c r="L111" i="6"/>
  <c r="N111" i="6" s="1"/>
  <c r="I111" i="6"/>
  <c r="L110" i="6"/>
  <c r="N110" i="6" s="1"/>
  <c r="I110" i="6"/>
  <c r="K110" i="6" s="1"/>
  <c r="L104" i="6"/>
  <c r="M103" i="6"/>
  <c r="N102" i="6"/>
  <c r="M101" i="6"/>
  <c r="J101" i="6"/>
  <c r="L98" i="6"/>
  <c r="N98" i="6" s="1"/>
  <c r="I98" i="6"/>
  <c r="L92" i="6"/>
  <c r="N92" i="6" s="1"/>
  <c r="M91" i="6"/>
  <c r="N90" i="6"/>
  <c r="M89" i="6"/>
  <c r="J89" i="6"/>
  <c r="J84" i="6"/>
  <c r="I83" i="6"/>
  <c r="L77" i="6"/>
  <c r="N77" i="6" s="1"/>
  <c r="M76" i="6"/>
  <c r="N75" i="6"/>
  <c r="M74" i="6"/>
  <c r="J74" i="6"/>
  <c r="M73" i="6"/>
  <c r="M71" i="6" s="1"/>
  <c r="M68" i="6" s="1"/>
  <c r="L72" i="6"/>
  <c r="N72" i="6" s="1"/>
  <c r="N70" i="6"/>
  <c r="J68" i="6"/>
  <c r="I62" i="6"/>
  <c r="K62" i="6" s="1"/>
  <c r="L56" i="6"/>
  <c r="N56" i="6" s="1"/>
  <c r="L55" i="6"/>
  <c r="M54" i="6"/>
  <c r="N53" i="6"/>
  <c r="M52" i="6"/>
  <c r="J52" i="6"/>
  <c r="I48" i="6"/>
  <c r="K48" i="6" s="1"/>
  <c r="I47" i="6"/>
  <c r="K47" i="6" s="1"/>
  <c r="I46" i="6"/>
  <c r="K46" i="6" s="1"/>
  <c r="I45" i="6"/>
  <c r="K45" i="6" s="1"/>
  <c r="I44" i="6"/>
  <c r="I43" i="6"/>
  <c r="K43" i="6" s="1"/>
  <c r="L37" i="6"/>
  <c r="N37" i="6" s="1"/>
  <c r="L36" i="6"/>
  <c r="N36" i="6" s="1"/>
  <c r="M35" i="6"/>
  <c r="L35" i="6"/>
  <c r="N34" i="6"/>
  <c r="J33" i="6"/>
  <c r="I33" i="6"/>
  <c r="K33" i="6" s="1"/>
  <c r="M32" i="6"/>
  <c r="J32" i="6"/>
  <c r="I28" i="6"/>
  <c r="K28" i="6" s="1"/>
  <c r="I27" i="6"/>
  <c r="K27" i="6" s="1"/>
  <c r="I26" i="6"/>
  <c r="I25" i="6"/>
  <c r="K25" i="6" s="1"/>
  <c r="I24" i="6"/>
  <c r="K24" i="6" s="1"/>
  <c r="I23" i="6"/>
  <c r="K23" i="6" s="1"/>
  <c r="I22" i="6"/>
  <c r="K22" i="6" s="1"/>
  <c r="J21" i="6"/>
  <c r="J20" i="6"/>
  <c r="L14" i="6"/>
  <c r="N14" i="6" s="1"/>
  <c r="L13" i="6"/>
  <c r="N13" i="6" s="1"/>
  <c r="M12" i="6"/>
  <c r="M9" i="6" s="1"/>
  <c r="L12" i="6"/>
  <c r="N11" i="6"/>
  <c r="J10" i="6"/>
  <c r="J9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K513" i="5" s="1"/>
  <c r="J510" i="5"/>
  <c r="I510" i="5"/>
  <c r="J504" i="5"/>
  <c r="I504" i="5"/>
  <c r="M494" i="5"/>
  <c r="M492" i="5" s="1"/>
  <c r="M490" i="5" s="1"/>
  <c r="L494" i="5"/>
  <c r="L493" i="5"/>
  <c r="N491" i="5"/>
  <c r="J490" i="5"/>
  <c r="K489" i="5"/>
  <c r="J489" i="5"/>
  <c r="J488" i="5"/>
  <c r="J473" i="5" s="1"/>
  <c r="I488" i="5"/>
  <c r="K487" i="5"/>
  <c r="J487" i="5"/>
  <c r="J486" i="5"/>
  <c r="I486" i="5"/>
  <c r="K485" i="5"/>
  <c r="J485" i="5"/>
  <c r="J484" i="5"/>
  <c r="I484" i="5"/>
  <c r="K483" i="5"/>
  <c r="J483" i="5"/>
  <c r="J482" i="5"/>
  <c r="I482" i="5"/>
  <c r="M477" i="5"/>
  <c r="L477" i="5"/>
  <c r="N477" i="5" s="1"/>
  <c r="L476" i="5"/>
  <c r="N476" i="5" s="1"/>
  <c r="M475" i="5"/>
  <c r="N474" i="5"/>
  <c r="M473" i="5"/>
  <c r="K472" i="5"/>
  <c r="K471" i="5"/>
  <c r="K470" i="5"/>
  <c r="K469" i="5"/>
  <c r="K468" i="5"/>
  <c r="J466" i="5"/>
  <c r="I466" i="5"/>
  <c r="M461" i="5"/>
  <c r="M459" i="5" s="1"/>
  <c r="M457" i="5" s="1"/>
  <c r="L461" i="5"/>
  <c r="L460" i="5"/>
  <c r="N460" i="5" s="1"/>
  <c r="N458" i="5"/>
  <c r="J457" i="5"/>
  <c r="I456" i="5"/>
  <c r="I455" i="5"/>
  <c r="I454" i="5"/>
  <c r="K454" i="5" s="1"/>
  <c r="I453" i="5"/>
  <c r="K453" i="5" s="1"/>
  <c r="M448" i="5"/>
  <c r="L448" i="5"/>
  <c r="N448" i="5" s="1"/>
  <c r="L447" i="5"/>
  <c r="M446" i="5"/>
  <c r="N445" i="5"/>
  <c r="M444" i="5"/>
  <c r="J444" i="5"/>
  <c r="I441" i="5"/>
  <c r="K441" i="5" s="1"/>
  <c r="I440" i="5"/>
  <c r="K440" i="5" s="1"/>
  <c r="M430" i="5"/>
  <c r="L430" i="5"/>
  <c r="L429" i="5"/>
  <c r="N429" i="5" s="1"/>
  <c r="M428" i="5"/>
  <c r="M426" i="5" s="1"/>
  <c r="N427" i="5"/>
  <c r="J426" i="5"/>
  <c r="K425" i="5"/>
  <c r="K424" i="5"/>
  <c r="K423" i="5"/>
  <c r="K422" i="5"/>
  <c r="K421" i="5"/>
  <c r="K420" i="5"/>
  <c r="J419" i="5"/>
  <c r="J418" i="5"/>
  <c r="K417" i="5"/>
  <c r="J417" i="5"/>
  <c r="I419" i="5" s="1"/>
  <c r="K419" i="5" s="1"/>
  <c r="K416" i="5"/>
  <c r="J416" i="5"/>
  <c r="K415" i="5"/>
  <c r="J415" i="5"/>
  <c r="K414" i="5"/>
  <c r="J414" i="5"/>
  <c r="K413" i="5"/>
  <c r="J413" i="5"/>
  <c r="K412" i="5"/>
  <c r="J412" i="5"/>
  <c r="I411" i="5"/>
  <c r="K411" i="5" s="1"/>
  <c r="I410" i="5"/>
  <c r="K410" i="5" s="1"/>
  <c r="I409" i="5"/>
  <c r="K409" i="5" s="1"/>
  <c r="K408" i="5"/>
  <c r="K407" i="5"/>
  <c r="K406" i="5"/>
  <c r="K405" i="5"/>
  <c r="K404" i="5"/>
  <c r="K403" i="5"/>
  <c r="K402" i="5"/>
  <c r="J402" i="5"/>
  <c r="K401" i="5"/>
  <c r="J401" i="5"/>
  <c r="K400" i="5"/>
  <c r="K399" i="5"/>
  <c r="K398" i="5"/>
  <c r="K397" i="5"/>
  <c r="K396" i="5"/>
  <c r="K395" i="5"/>
  <c r="K394" i="5"/>
  <c r="J394" i="5"/>
  <c r="K393" i="5"/>
  <c r="J393" i="5"/>
  <c r="J391" i="5" s="1"/>
  <c r="J390" i="5" s="1"/>
  <c r="J392" i="5"/>
  <c r="I392" i="5"/>
  <c r="K392" i="5" s="1"/>
  <c r="I391" i="5"/>
  <c r="K391" i="5" s="1"/>
  <c r="I390" i="5"/>
  <c r="K390" i="5" s="1"/>
  <c r="K389" i="5"/>
  <c r="K388" i="5"/>
  <c r="K387" i="5"/>
  <c r="K386" i="5"/>
  <c r="K385" i="5"/>
  <c r="K384" i="5"/>
  <c r="K383" i="5"/>
  <c r="J383" i="5"/>
  <c r="K382" i="5"/>
  <c r="J382" i="5"/>
  <c r="J376" i="5" s="1"/>
  <c r="J359" i="5" s="1"/>
  <c r="K381" i="5"/>
  <c r="K380" i="5"/>
  <c r="K379" i="5"/>
  <c r="K378" i="5"/>
  <c r="J377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J360" i="5"/>
  <c r="I359" i="5"/>
  <c r="I350" i="5" s="1"/>
  <c r="M354" i="5"/>
  <c r="L354" i="5"/>
  <c r="L353" i="5"/>
  <c r="N353" i="5" s="1"/>
  <c r="M352" i="5"/>
  <c r="M350" i="5" s="1"/>
  <c r="N351" i="5"/>
  <c r="J350" i="5"/>
  <c r="I347" i="5"/>
  <c r="K347" i="5" s="1"/>
  <c r="I346" i="5"/>
  <c r="K346" i="5" s="1"/>
  <c r="I345" i="5"/>
  <c r="K345" i="5" s="1"/>
  <c r="J344" i="5"/>
  <c r="M334" i="5"/>
  <c r="L334" i="5"/>
  <c r="N334" i="5" s="1"/>
  <c r="L333" i="5"/>
  <c r="M332" i="5"/>
  <c r="M330" i="5" s="1"/>
  <c r="N331" i="5"/>
  <c r="J330" i="5"/>
  <c r="I327" i="5"/>
  <c r="K327" i="5" s="1"/>
  <c r="I326" i="5"/>
  <c r="K326" i="5" s="1"/>
  <c r="I324" i="5"/>
  <c r="K324" i="5" s="1"/>
  <c r="I323" i="5"/>
  <c r="I322" i="5"/>
  <c r="K322" i="5" s="1"/>
  <c r="I321" i="5"/>
  <c r="I320" i="5"/>
  <c r="K320" i="5" s="1"/>
  <c r="I319" i="5"/>
  <c r="I318" i="5"/>
  <c r="K318" i="5" s="1"/>
  <c r="I317" i="5"/>
  <c r="K317" i="5" s="1"/>
  <c r="I316" i="5"/>
  <c r="I315" i="5"/>
  <c r="K315" i="5" s="1"/>
  <c r="I314" i="5"/>
  <c r="K314" i="5" s="1"/>
  <c r="I313" i="5"/>
  <c r="K313" i="5" s="1"/>
  <c r="I312" i="5"/>
  <c r="M301" i="5"/>
  <c r="M299" i="5" s="1"/>
  <c r="M296" i="5" s="1"/>
  <c r="L301" i="5"/>
  <c r="N301" i="5" s="1"/>
  <c r="L300" i="5"/>
  <c r="N298" i="5"/>
  <c r="J296" i="5"/>
  <c r="J296" i="1" s="1"/>
  <c r="I293" i="5"/>
  <c r="K293" i="5" s="1"/>
  <c r="I292" i="5"/>
  <c r="I291" i="5"/>
  <c r="M280" i="5"/>
  <c r="L280" i="5"/>
  <c r="L279" i="5"/>
  <c r="N277" i="5"/>
  <c r="J276" i="5"/>
  <c r="J275" i="5"/>
  <c r="I272" i="5"/>
  <c r="K272" i="5" s="1"/>
  <c r="I271" i="5"/>
  <c r="J270" i="5"/>
  <c r="J244" i="5" s="1"/>
  <c r="I268" i="5"/>
  <c r="I266" i="5"/>
  <c r="I264" i="5"/>
  <c r="J263" i="5"/>
  <c r="J245" i="5" s="1"/>
  <c r="I263" i="5"/>
  <c r="J262" i="5"/>
  <c r="I260" i="5"/>
  <c r="K260" i="5" s="1"/>
  <c r="J259" i="5"/>
  <c r="M249" i="5"/>
  <c r="M247" i="5" s="1"/>
  <c r="L249" i="5"/>
  <c r="N249" i="5" s="1"/>
  <c r="L248" i="5"/>
  <c r="N246" i="5"/>
  <c r="M244" i="5"/>
  <c r="K241" i="5"/>
  <c r="J241" i="5"/>
  <c r="J240" i="5"/>
  <c r="I240" i="5"/>
  <c r="K239" i="5"/>
  <c r="J239" i="5"/>
  <c r="J238" i="5"/>
  <c r="I238" i="5"/>
  <c r="K237" i="5"/>
  <c r="J237" i="5"/>
  <c r="J236" i="5"/>
  <c r="I236" i="5"/>
  <c r="J235" i="5"/>
  <c r="I235" i="5"/>
  <c r="K234" i="5"/>
  <c r="J234" i="5"/>
  <c r="L232" i="5"/>
  <c r="N232" i="5" s="1"/>
  <c r="L231" i="5"/>
  <c r="M230" i="5"/>
  <c r="N229" i="5"/>
  <c r="M228" i="5"/>
  <c r="I224" i="5"/>
  <c r="I214" i="5" s="1"/>
  <c r="K214" i="5" s="1"/>
  <c r="L218" i="5"/>
  <c r="N218" i="5" s="1"/>
  <c r="N217" i="5"/>
  <c r="M216" i="5"/>
  <c r="N215" i="5"/>
  <c r="M214" i="5"/>
  <c r="J214" i="5"/>
  <c r="I211" i="5"/>
  <c r="K211" i="5" s="1"/>
  <c r="I209" i="5"/>
  <c r="I199" i="5" s="1"/>
  <c r="K199" i="5" s="1"/>
  <c r="L203" i="5"/>
  <c r="N203" i="5" s="1"/>
  <c r="N202" i="5"/>
  <c r="M201" i="5"/>
  <c r="N200" i="5"/>
  <c r="M199" i="5"/>
  <c r="J199" i="5"/>
  <c r="I195" i="5"/>
  <c r="I185" i="5" s="1"/>
  <c r="K185" i="5" s="1"/>
  <c r="L189" i="5"/>
  <c r="N189" i="5" s="1"/>
  <c r="L188" i="5"/>
  <c r="M187" i="5"/>
  <c r="N186" i="5"/>
  <c r="M185" i="5"/>
  <c r="J185" i="5"/>
  <c r="I182" i="5"/>
  <c r="K182" i="5" s="1"/>
  <c r="I181" i="5"/>
  <c r="K181" i="5" s="1"/>
  <c r="I180" i="5"/>
  <c r="I179" i="5"/>
  <c r="K179" i="5" s="1"/>
  <c r="L173" i="5"/>
  <c r="N173" i="5" s="1"/>
  <c r="L172" i="5"/>
  <c r="M171" i="5"/>
  <c r="N170" i="5"/>
  <c r="M169" i="5"/>
  <c r="J169" i="5"/>
  <c r="K164" i="5"/>
  <c r="J158" i="5"/>
  <c r="J144" i="5" s="1"/>
  <c r="I158" i="5"/>
  <c r="K158" i="5" s="1"/>
  <c r="I155" i="5"/>
  <c r="J149" i="5"/>
  <c r="L148" i="5"/>
  <c r="N147" i="5"/>
  <c r="M146" i="5"/>
  <c r="N145" i="5"/>
  <c r="M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I129" i="5" s="1"/>
  <c r="L132" i="5"/>
  <c r="L131" i="5" s="1"/>
  <c r="N131" i="5" s="1"/>
  <c r="M131" i="5"/>
  <c r="N130" i="5"/>
  <c r="M129" i="5"/>
  <c r="J129" i="5"/>
  <c r="L126" i="5"/>
  <c r="N126" i="5" s="1"/>
  <c r="I126" i="5"/>
  <c r="K126" i="5" s="1"/>
  <c r="L125" i="5"/>
  <c r="N125" i="5" s="1"/>
  <c r="I125" i="5"/>
  <c r="I114" i="5" s="1"/>
  <c r="K114" i="5" s="1"/>
  <c r="I124" i="5"/>
  <c r="K124" i="5" s="1"/>
  <c r="L117" i="5"/>
  <c r="L116" i="5" s="1"/>
  <c r="L114" i="5" s="1"/>
  <c r="M116" i="5"/>
  <c r="N115" i="5"/>
  <c r="M114" i="5"/>
  <c r="J114" i="5"/>
  <c r="L111" i="5"/>
  <c r="N111" i="5" s="1"/>
  <c r="I111" i="5"/>
  <c r="L110" i="5"/>
  <c r="N110" i="5" s="1"/>
  <c r="I110" i="5"/>
  <c r="K110" i="5" s="1"/>
  <c r="L104" i="5"/>
  <c r="M103" i="5"/>
  <c r="M101" i="5" s="1"/>
  <c r="N102" i="5"/>
  <c r="J101" i="5"/>
  <c r="L98" i="5"/>
  <c r="N98" i="5" s="1"/>
  <c r="I98" i="5"/>
  <c r="K98" i="5" s="1"/>
  <c r="L92" i="5"/>
  <c r="L91" i="5" s="1"/>
  <c r="M91" i="5"/>
  <c r="N90" i="5"/>
  <c r="M89" i="5"/>
  <c r="J89" i="5"/>
  <c r="J84" i="5"/>
  <c r="I83" i="5"/>
  <c r="K83" i="5" s="1"/>
  <c r="L77" i="5"/>
  <c r="M76" i="5"/>
  <c r="N75" i="5"/>
  <c r="M74" i="5"/>
  <c r="J74" i="5"/>
  <c r="M73" i="5"/>
  <c r="M71" i="5" s="1"/>
  <c r="M68" i="5" s="1"/>
  <c r="L72" i="5"/>
  <c r="N72" i="5" s="1"/>
  <c r="N70" i="5"/>
  <c r="J68" i="5"/>
  <c r="I62" i="5"/>
  <c r="I63" i="5" s="1"/>
  <c r="K63" i="5" s="1"/>
  <c r="L56" i="5"/>
  <c r="N56" i="5" s="1"/>
  <c r="L55" i="5"/>
  <c r="N55" i="5" s="1"/>
  <c r="M54" i="5"/>
  <c r="M52" i="5" s="1"/>
  <c r="N53" i="5"/>
  <c r="J52" i="5"/>
  <c r="I48" i="5"/>
  <c r="I33" i="5" s="1"/>
  <c r="K33" i="5" s="1"/>
  <c r="I47" i="5"/>
  <c r="K47" i="5" s="1"/>
  <c r="I46" i="5"/>
  <c r="K46" i="5" s="1"/>
  <c r="I45" i="5"/>
  <c r="K45" i="5" s="1"/>
  <c r="I44" i="5"/>
  <c r="I32" i="5" s="1"/>
  <c r="I43" i="5"/>
  <c r="K43" i="5" s="1"/>
  <c r="L37" i="5"/>
  <c r="N37" i="5" s="1"/>
  <c r="L36" i="5"/>
  <c r="N36" i="5" s="1"/>
  <c r="M35" i="5"/>
  <c r="L35" i="5"/>
  <c r="N34" i="5"/>
  <c r="J33" i="5"/>
  <c r="M32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I22" i="5"/>
  <c r="K22" i="5" s="1"/>
  <c r="J21" i="5"/>
  <c r="J20" i="5"/>
  <c r="L14" i="5"/>
  <c r="N14" i="5" s="1"/>
  <c r="L13" i="5"/>
  <c r="N13" i="5" s="1"/>
  <c r="M12" i="5"/>
  <c r="M9" i="5" s="1"/>
  <c r="L12" i="5"/>
  <c r="N11" i="5"/>
  <c r="J10" i="5"/>
  <c r="J9" i="5"/>
  <c r="J528" i="4"/>
  <c r="I528" i="4"/>
  <c r="J527" i="4"/>
  <c r="I527" i="4"/>
  <c r="J526" i="4"/>
  <c r="I526" i="4"/>
  <c r="K526" i="4" s="1"/>
  <c r="J525" i="4"/>
  <c r="I525" i="4"/>
  <c r="K525" i="4" s="1"/>
  <c r="J524" i="4"/>
  <c r="I524" i="4"/>
  <c r="J523" i="4"/>
  <c r="I523" i="4"/>
  <c r="J522" i="4"/>
  <c r="I522" i="4"/>
  <c r="J521" i="4"/>
  <c r="I521" i="4"/>
  <c r="J517" i="4"/>
  <c r="I517" i="4"/>
  <c r="J514" i="4"/>
  <c r="I514" i="4"/>
  <c r="J513" i="4"/>
  <c r="I513" i="4"/>
  <c r="K514" i="4" s="1"/>
  <c r="J510" i="4"/>
  <c r="I510" i="4"/>
  <c r="J504" i="4"/>
  <c r="J490" i="4" s="1"/>
  <c r="I504" i="4"/>
  <c r="K508" i="4" s="1"/>
  <c r="M494" i="4"/>
  <c r="L494" i="4"/>
  <c r="N494" i="4" s="1"/>
  <c r="L493" i="4"/>
  <c r="M492" i="4"/>
  <c r="N491" i="4"/>
  <c r="M490" i="4"/>
  <c r="K489" i="4"/>
  <c r="J489" i="4"/>
  <c r="J488" i="4"/>
  <c r="J473" i="4" s="1"/>
  <c r="I488" i="4"/>
  <c r="K488" i="4" s="1"/>
  <c r="K487" i="4"/>
  <c r="J487" i="4"/>
  <c r="J486" i="4"/>
  <c r="I486" i="4"/>
  <c r="K486" i="4" s="1"/>
  <c r="K485" i="4"/>
  <c r="J485" i="4"/>
  <c r="J484" i="4"/>
  <c r="I484" i="4"/>
  <c r="K483" i="4"/>
  <c r="J483" i="4"/>
  <c r="J482" i="4"/>
  <c r="I482" i="4"/>
  <c r="K482" i="4" s="1"/>
  <c r="M477" i="4"/>
  <c r="L477" i="4"/>
  <c r="N477" i="4" s="1"/>
  <c r="L476" i="4"/>
  <c r="N476" i="4" s="1"/>
  <c r="M475" i="4"/>
  <c r="M473" i="4" s="1"/>
  <c r="N474" i="4"/>
  <c r="K472" i="4"/>
  <c r="K471" i="4"/>
  <c r="K470" i="4"/>
  <c r="K469" i="4"/>
  <c r="K468" i="4"/>
  <c r="J466" i="4"/>
  <c r="I466" i="4"/>
  <c r="M461" i="4"/>
  <c r="L461" i="4"/>
  <c r="L460" i="4"/>
  <c r="N460" i="4" s="1"/>
  <c r="N458" i="4"/>
  <c r="J457" i="4"/>
  <c r="I456" i="4"/>
  <c r="K456" i="4" s="1"/>
  <c r="I455" i="4"/>
  <c r="K455" i="4" s="1"/>
  <c r="I454" i="4"/>
  <c r="K454" i="4" s="1"/>
  <c r="I453" i="4"/>
  <c r="M448" i="4"/>
  <c r="M446" i="4" s="1"/>
  <c r="M444" i="4" s="1"/>
  <c r="L448" i="4"/>
  <c r="N448" i="4" s="1"/>
  <c r="L447" i="4"/>
  <c r="N445" i="4"/>
  <c r="J444" i="4"/>
  <c r="I441" i="4"/>
  <c r="K441" i="4" s="1"/>
  <c r="I440" i="4"/>
  <c r="M430" i="4"/>
  <c r="M428" i="4" s="1"/>
  <c r="M426" i="4" s="1"/>
  <c r="L430" i="4"/>
  <c r="L429" i="4"/>
  <c r="N427" i="4"/>
  <c r="J426" i="4"/>
  <c r="K425" i="4"/>
  <c r="K424" i="4"/>
  <c r="K423" i="4"/>
  <c r="K422" i="4"/>
  <c r="K421" i="4"/>
  <c r="K420" i="4"/>
  <c r="J419" i="4"/>
  <c r="J418" i="4"/>
  <c r="J418" i="1" s="1"/>
  <c r="K417" i="4"/>
  <c r="J417" i="4"/>
  <c r="I419" i="4" s="1"/>
  <c r="K419" i="4" s="1"/>
  <c r="K416" i="4"/>
  <c r="J416" i="4"/>
  <c r="I418" i="4" s="1"/>
  <c r="K418" i="4" s="1"/>
  <c r="K415" i="4"/>
  <c r="J415" i="4"/>
  <c r="K414" i="4"/>
  <c r="J414" i="4"/>
  <c r="K413" i="4"/>
  <c r="J413" i="4"/>
  <c r="K412" i="4"/>
  <c r="J412" i="4"/>
  <c r="I411" i="4"/>
  <c r="K411" i="4" s="1"/>
  <c r="I410" i="4"/>
  <c r="I409" i="4"/>
  <c r="K409" i="4" s="1"/>
  <c r="K408" i="4"/>
  <c r="K407" i="4"/>
  <c r="K406" i="4"/>
  <c r="K405" i="4"/>
  <c r="K404" i="4"/>
  <c r="K403" i="4"/>
  <c r="K402" i="4"/>
  <c r="J402" i="4"/>
  <c r="K401" i="4"/>
  <c r="J401" i="4"/>
  <c r="K400" i="4"/>
  <c r="K399" i="4"/>
  <c r="K398" i="4"/>
  <c r="K397" i="4"/>
  <c r="K396" i="4"/>
  <c r="K395" i="4"/>
  <c r="K394" i="4"/>
  <c r="J394" i="4"/>
  <c r="J392" i="4" s="1"/>
  <c r="K393" i="4"/>
  <c r="J393" i="4"/>
  <c r="I392" i="4"/>
  <c r="K392" i="4" s="1"/>
  <c r="I391" i="4"/>
  <c r="K391" i="4" s="1"/>
  <c r="I390" i="4"/>
  <c r="K390" i="4" s="1"/>
  <c r="K389" i="4"/>
  <c r="K388" i="4"/>
  <c r="K387" i="4"/>
  <c r="K386" i="4"/>
  <c r="K385" i="4"/>
  <c r="K384" i="4"/>
  <c r="K383" i="4"/>
  <c r="J383" i="4"/>
  <c r="K382" i="4"/>
  <c r="J382" i="4"/>
  <c r="K381" i="4"/>
  <c r="K380" i="4"/>
  <c r="K379" i="4"/>
  <c r="K378" i="4"/>
  <c r="J377" i="4"/>
  <c r="J376" i="4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77" i="4" s="1"/>
  <c r="K377" i="4" s="1"/>
  <c r="J360" i="4"/>
  <c r="J359" i="4"/>
  <c r="I359" i="4"/>
  <c r="I350" i="4" s="1"/>
  <c r="K350" i="4" s="1"/>
  <c r="M354" i="4"/>
  <c r="M352" i="4" s="1"/>
  <c r="M350" i="4" s="1"/>
  <c r="L354" i="4"/>
  <c r="L353" i="4"/>
  <c r="N351" i="4"/>
  <c r="J350" i="4"/>
  <c r="I347" i="4"/>
  <c r="K347" i="4" s="1"/>
  <c r="I346" i="4"/>
  <c r="I345" i="4"/>
  <c r="K345" i="4" s="1"/>
  <c r="J344" i="4"/>
  <c r="J330" i="4" s="1"/>
  <c r="M334" i="4"/>
  <c r="M332" i="4" s="1"/>
  <c r="M330" i="4" s="1"/>
  <c r="L334" i="4"/>
  <c r="L333" i="4"/>
  <c r="N333" i="4" s="1"/>
  <c r="N331" i="4"/>
  <c r="I327" i="4"/>
  <c r="K327" i="4" s="1"/>
  <c r="I326" i="4"/>
  <c r="I324" i="4"/>
  <c r="K324" i="4" s="1"/>
  <c r="I323" i="4"/>
  <c r="I322" i="4"/>
  <c r="I321" i="4"/>
  <c r="I320" i="4"/>
  <c r="K320" i="4" s="1"/>
  <c r="I319" i="4"/>
  <c r="I318" i="4"/>
  <c r="K318" i="4" s="1"/>
  <c r="I317" i="4"/>
  <c r="K317" i="4" s="1"/>
  <c r="I316" i="4"/>
  <c r="I315" i="4"/>
  <c r="K315" i="4" s="1"/>
  <c r="I314" i="4"/>
  <c r="I313" i="4"/>
  <c r="K313" i="4" s="1"/>
  <c r="I312" i="4"/>
  <c r="M301" i="4"/>
  <c r="M299" i="4" s="1"/>
  <c r="L301" i="4"/>
  <c r="N301" i="4" s="1"/>
  <c r="L300" i="4"/>
  <c r="N298" i="4"/>
  <c r="M296" i="4"/>
  <c r="J296" i="4"/>
  <c r="I293" i="4"/>
  <c r="K293" i="4" s="1"/>
  <c r="I292" i="4"/>
  <c r="K292" i="4" s="1"/>
  <c r="I291" i="4"/>
  <c r="M280" i="4"/>
  <c r="M278" i="4" s="1"/>
  <c r="L280" i="4"/>
  <c r="N280" i="4" s="1"/>
  <c r="L279" i="4"/>
  <c r="N277" i="4"/>
  <c r="J276" i="4"/>
  <c r="M275" i="4"/>
  <c r="J275" i="4"/>
  <c r="I272" i="4"/>
  <c r="K272" i="4" s="1"/>
  <c r="I271" i="4"/>
  <c r="K271" i="4" s="1"/>
  <c r="J270" i="4"/>
  <c r="I268" i="4"/>
  <c r="K268" i="4" s="1"/>
  <c r="I266" i="4"/>
  <c r="K266" i="4" s="1"/>
  <c r="I264" i="4"/>
  <c r="J263" i="4"/>
  <c r="I263" i="4"/>
  <c r="I245" i="4" s="1"/>
  <c r="J262" i="4"/>
  <c r="I260" i="4"/>
  <c r="K260" i="4" s="1"/>
  <c r="M249" i="4"/>
  <c r="M247" i="4" s="1"/>
  <c r="M244" i="4" s="1"/>
  <c r="L249" i="4"/>
  <c r="L248" i="4"/>
  <c r="N246" i="4"/>
  <c r="J244" i="4"/>
  <c r="J244" i="1" s="1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M230" i="4"/>
  <c r="N229" i="4"/>
  <c r="M228" i="4"/>
  <c r="I224" i="4"/>
  <c r="K224" i="4" s="1"/>
  <c r="L218" i="4"/>
  <c r="N218" i="4" s="1"/>
  <c r="N217" i="4"/>
  <c r="M216" i="4"/>
  <c r="N215" i="4"/>
  <c r="M214" i="4"/>
  <c r="J214" i="4"/>
  <c r="I211" i="4"/>
  <c r="K211" i="4" s="1"/>
  <c r="I209" i="4"/>
  <c r="L203" i="4"/>
  <c r="N203" i="4" s="1"/>
  <c r="N202" i="4"/>
  <c r="M201" i="4"/>
  <c r="N200" i="4"/>
  <c r="M199" i="4"/>
  <c r="J199" i="4"/>
  <c r="I195" i="4"/>
  <c r="L189" i="4"/>
  <c r="N189" i="4" s="1"/>
  <c r="L188" i="4"/>
  <c r="M187" i="4"/>
  <c r="N186" i="4"/>
  <c r="M185" i="4"/>
  <c r="J185" i="4"/>
  <c r="I182" i="4"/>
  <c r="K182" i="4" s="1"/>
  <c r="I181" i="4"/>
  <c r="K181" i="4" s="1"/>
  <c r="I180" i="4"/>
  <c r="K180" i="4" s="1"/>
  <c r="I179" i="4"/>
  <c r="L173" i="4"/>
  <c r="N173" i="4" s="1"/>
  <c r="L172" i="4"/>
  <c r="M171" i="4"/>
  <c r="N170" i="4"/>
  <c r="M169" i="4"/>
  <c r="J169" i="4"/>
  <c r="K164" i="4"/>
  <c r="J158" i="4"/>
  <c r="J144" i="4" s="1"/>
  <c r="I158" i="4"/>
  <c r="K158" i="4" s="1"/>
  <c r="I155" i="4"/>
  <c r="K155" i="4" s="1"/>
  <c r="J149" i="4"/>
  <c r="L148" i="4"/>
  <c r="N148" i="4" s="1"/>
  <c r="N147" i="4"/>
  <c r="M146" i="4"/>
  <c r="N145" i="4"/>
  <c r="M144" i="4"/>
  <c r="L141" i="4"/>
  <c r="N141" i="4" s="1"/>
  <c r="I141" i="4"/>
  <c r="K141" i="4" s="1"/>
  <c r="L140" i="4"/>
  <c r="N140" i="4" s="1"/>
  <c r="I140" i="4"/>
  <c r="L138" i="4"/>
  <c r="N138" i="4" s="1"/>
  <c r="I138" i="4"/>
  <c r="I129" i="4" s="1"/>
  <c r="L132" i="4"/>
  <c r="N132" i="4" s="1"/>
  <c r="M131" i="4"/>
  <c r="N130" i="4"/>
  <c r="M129" i="4"/>
  <c r="J129" i="4"/>
  <c r="J68" i="4" s="1"/>
  <c r="L126" i="4"/>
  <c r="N126" i="4" s="1"/>
  <c r="I126" i="4"/>
  <c r="K126" i="4" s="1"/>
  <c r="L125" i="4"/>
  <c r="N125" i="4" s="1"/>
  <c r="I125" i="4"/>
  <c r="I114" i="4" s="1"/>
  <c r="I124" i="4"/>
  <c r="K124" i="4" s="1"/>
  <c r="L117" i="4"/>
  <c r="L116" i="4" s="1"/>
  <c r="N116" i="4" s="1"/>
  <c r="M116" i="4"/>
  <c r="N115" i="4"/>
  <c r="M114" i="4"/>
  <c r="J114" i="4"/>
  <c r="L111" i="4"/>
  <c r="N111" i="4" s="1"/>
  <c r="I111" i="4"/>
  <c r="K111" i="4" s="1"/>
  <c r="L110" i="4"/>
  <c r="N110" i="4" s="1"/>
  <c r="I110" i="4"/>
  <c r="K110" i="4" s="1"/>
  <c r="L104" i="4"/>
  <c r="L103" i="4" s="1"/>
  <c r="M103" i="4"/>
  <c r="N102" i="4"/>
  <c r="M101" i="4"/>
  <c r="J101" i="4"/>
  <c r="L98" i="4"/>
  <c r="N98" i="4" s="1"/>
  <c r="I98" i="4"/>
  <c r="K98" i="4" s="1"/>
  <c r="L92" i="4"/>
  <c r="M91" i="4"/>
  <c r="N90" i="4"/>
  <c r="M89" i="4"/>
  <c r="J89" i="4"/>
  <c r="J84" i="4"/>
  <c r="I83" i="4"/>
  <c r="L77" i="4"/>
  <c r="M76" i="4"/>
  <c r="N75" i="4"/>
  <c r="M74" i="4"/>
  <c r="J74" i="4"/>
  <c r="M73" i="4"/>
  <c r="M71" i="4" s="1"/>
  <c r="M68" i="4" s="1"/>
  <c r="L72" i="4"/>
  <c r="N70" i="4"/>
  <c r="I62" i="4"/>
  <c r="L56" i="4"/>
  <c r="L55" i="4"/>
  <c r="N55" i="4" s="1"/>
  <c r="M54" i="4"/>
  <c r="N53" i="4"/>
  <c r="M52" i="4"/>
  <c r="J52" i="4"/>
  <c r="I48" i="4"/>
  <c r="I47" i="4"/>
  <c r="K47" i="4" s="1"/>
  <c r="I46" i="4"/>
  <c r="K46" i="4" s="1"/>
  <c r="I45" i="4"/>
  <c r="K45" i="4" s="1"/>
  <c r="I44" i="4"/>
  <c r="K44" i="4" s="1"/>
  <c r="I43" i="4"/>
  <c r="K43" i="4" s="1"/>
  <c r="L37" i="4"/>
  <c r="N37" i="4" s="1"/>
  <c r="L36" i="4"/>
  <c r="N36" i="4" s="1"/>
  <c r="M35" i="4"/>
  <c r="L35" i="4"/>
  <c r="N34" i="4"/>
  <c r="J33" i="4"/>
  <c r="M32" i="4"/>
  <c r="J32" i="4"/>
  <c r="I28" i="4"/>
  <c r="K28" i="4" s="1"/>
  <c r="I27" i="4"/>
  <c r="K27" i="4" s="1"/>
  <c r="I26" i="4"/>
  <c r="K26" i="4" s="1"/>
  <c r="I25" i="4"/>
  <c r="I24" i="4"/>
  <c r="K24" i="4" s="1"/>
  <c r="I23" i="4"/>
  <c r="K23" i="4" s="1"/>
  <c r="I22" i="4"/>
  <c r="K22" i="4" s="1"/>
  <c r="J21" i="4"/>
  <c r="J10" i="4" s="1"/>
  <c r="J20" i="4"/>
  <c r="L14" i="4"/>
  <c r="N14" i="4" s="1"/>
  <c r="L13" i="4"/>
  <c r="N13" i="4" s="1"/>
  <c r="M12" i="4"/>
  <c r="M9" i="4" s="1"/>
  <c r="M6" i="4" s="1"/>
  <c r="L12" i="4"/>
  <c r="N11" i="4"/>
  <c r="J9" i="4"/>
  <c r="J528" i="3"/>
  <c r="I528" i="3"/>
  <c r="J527" i="3"/>
  <c r="I527" i="3"/>
  <c r="J526" i="3"/>
  <c r="I526" i="3"/>
  <c r="K526" i="3" s="1"/>
  <c r="J525" i="3"/>
  <c r="I525" i="3"/>
  <c r="K525" i="3" s="1"/>
  <c r="J524" i="3"/>
  <c r="I524" i="3"/>
  <c r="J523" i="3"/>
  <c r="I523" i="3"/>
  <c r="J522" i="3"/>
  <c r="I522" i="3"/>
  <c r="J521" i="3"/>
  <c r="I521" i="3"/>
  <c r="J517" i="3"/>
  <c r="I517" i="3"/>
  <c r="J514" i="3"/>
  <c r="I514" i="3"/>
  <c r="J513" i="3"/>
  <c r="I513" i="3"/>
  <c r="K515" i="3" s="1"/>
  <c r="J510" i="3"/>
  <c r="J504" i="3" s="1"/>
  <c r="I510" i="3"/>
  <c r="I504" i="3"/>
  <c r="M494" i="3"/>
  <c r="M492" i="3" s="1"/>
  <c r="M490" i="3" s="1"/>
  <c r="L494" i="3"/>
  <c r="L493" i="3"/>
  <c r="N493" i="3" s="1"/>
  <c r="N491" i="3"/>
  <c r="J490" i="3"/>
  <c r="K489" i="3"/>
  <c r="J489" i="3"/>
  <c r="J488" i="3"/>
  <c r="J473" i="3" s="1"/>
  <c r="I488" i="3"/>
  <c r="K488" i="3" s="1"/>
  <c r="K487" i="3"/>
  <c r="J487" i="3"/>
  <c r="J486" i="3"/>
  <c r="I486" i="3"/>
  <c r="K486" i="3" s="1"/>
  <c r="K485" i="3"/>
  <c r="J485" i="3"/>
  <c r="J484" i="3"/>
  <c r="I484" i="3"/>
  <c r="K484" i="3" s="1"/>
  <c r="K483" i="3"/>
  <c r="J483" i="3"/>
  <c r="J482" i="3"/>
  <c r="I482" i="3"/>
  <c r="K482" i="3" s="1"/>
  <c r="M477" i="3"/>
  <c r="L477" i="3"/>
  <c r="N477" i="3" s="1"/>
  <c r="L476" i="3"/>
  <c r="M475" i="3"/>
  <c r="N474" i="3"/>
  <c r="M473" i="3"/>
  <c r="K472" i="3"/>
  <c r="K471" i="3"/>
  <c r="K470" i="3"/>
  <c r="K469" i="3"/>
  <c r="K468" i="3"/>
  <c r="J466" i="3"/>
  <c r="I466" i="3"/>
  <c r="M461" i="3"/>
  <c r="M459" i="3" s="1"/>
  <c r="M457" i="3" s="1"/>
  <c r="L461" i="3"/>
  <c r="N461" i="3" s="1"/>
  <c r="L460" i="3"/>
  <c r="N458" i="3"/>
  <c r="J457" i="3"/>
  <c r="I456" i="3"/>
  <c r="K456" i="3" s="1"/>
  <c r="I455" i="3"/>
  <c r="K455" i="3" s="1"/>
  <c r="I454" i="3"/>
  <c r="K454" i="3" s="1"/>
  <c r="I453" i="3"/>
  <c r="M448" i="3"/>
  <c r="L448" i="3"/>
  <c r="N448" i="3" s="1"/>
  <c r="L447" i="3"/>
  <c r="M446" i="3"/>
  <c r="N445" i="3"/>
  <c r="M444" i="3"/>
  <c r="J444" i="3"/>
  <c r="I441" i="3"/>
  <c r="K441" i="3" s="1"/>
  <c r="I440" i="3"/>
  <c r="K440" i="3" s="1"/>
  <c r="M430" i="3"/>
  <c r="M428" i="3" s="1"/>
  <c r="L430" i="3"/>
  <c r="L429" i="3"/>
  <c r="N429" i="3" s="1"/>
  <c r="N427" i="3"/>
  <c r="J426" i="3"/>
  <c r="K425" i="3"/>
  <c r="K424" i="3"/>
  <c r="K423" i="3"/>
  <c r="K422" i="3"/>
  <c r="K421" i="3"/>
  <c r="K420" i="3"/>
  <c r="J419" i="3"/>
  <c r="J418" i="3"/>
  <c r="K417" i="3"/>
  <c r="J417" i="3"/>
  <c r="I419" i="3" s="1"/>
  <c r="K419" i="3" s="1"/>
  <c r="K416" i="3"/>
  <c r="J416" i="3"/>
  <c r="I418" i="3" s="1"/>
  <c r="K418" i="3" s="1"/>
  <c r="K415" i="3"/>
  <c r="J415" i="3"/>
  <c r="K414" i="3"/>
  <c r="J414" i="3"/>
  <c r="K413" i="3"/>
  <c r="J413" i="3"/>
  <c r="K412" i="3"/>
  <c r="J412" i="3"/>
  <c r="I411" i="3"/>
  <c r="K411" i="3" s="1"/>
  <c r="I410" i="3"/>
  <c r="K410" i="3" s="1"/>
  <c r="I409" i="3"/>
  <c r="K409" i="3" s="1"/>
  <c r="K408" i="3"/>
  <c r="K407" i="3"/>
  <c r="K406" i="3"/>
  <c r="K405" i="3"/>
  <c r="K404" i="3"/>
  <c r="K403" i="3"/>
  <c r="K402" i="3"/>
  <c r="J402" i="3"/>
  <c r="K401" i="3"/>
  <c r="J401" i="3"/>
  <c r="K400" i="3"/>
  <c r="K399" i="3"/>
  <c r="K398" i="3"/>
  <c r="K397" i="3"/>
  <c r="K396" i="3"/>
  <c r="K395" i="3"/>
  <c r="K394" i="3"/>
  <c r="J394" i="3"/>
  <c r="K393" i="3"/>
  <c r="J393" i="3"/>
  <c r="J391" i="3" s="1"/>
  <c r="J390" i="3" s="1"/>
  <c r="J392" i="3"/>
  <c r="I392" i="3"/>
  <c r="I391" i="3"/>
  <c r="I390" i="3"/>
  <c r="K390" i="3" s="1"/>
  <c r="K389" i="3"/>
  <c r="K388" i="3"/>
  <c r="K387" i="3"/>
  <c r="K386" i="3"/>
  <c r="K385" i="3"/>
  <c r="K384" i="3"/>
  <c r="K383" i="3"/>
  <c r="J383" i="3"/>
  <c r="K382" i="3"/>
  <c r="J382" i="3"/>
  <c r="J376" i="3" s="1"/>
  <c r="J359" i="3" s="1"/>
  <c r="J350" i="3" s="1"/>
  <c r="K381" i="3"/>
  <c r="K380" i="3"/>
  <c r="K379" i="3"/>
  <c r="K378" i="3"/>
  <c r="J377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J360" i="3"/>
  <c r="I359" i="3"/>
  <c r="M354" i="3"/>
  <c r="M352" i="3" s="1"/>
  <c r="M350" i="3" s="1"/>
  <c r="L354" i="3"/>
  <c r="L353" i="3"/>
  <c r="N353" i="3" s="1"/>
  <c r="N351" i="3"/>
  <c r="I347" i="3"/>
  <c r="K347" i="3" s="1"/>
  <c r="I346" i="3"/>
  <c r="K346" i="3" s="1"/>
  <c r="I345" i="3"/>
  <c r="K345" i="3" s="1"/>
  <c r="J344" i="3"/>
  <c r="M334" i="3"/>
  <c r="M332" i="3" s="1"/>
  <c r="M330" i="3" s="1"/>
  <c r="L334" i="3"/>
  <c r="L333" i="3"/>
  <c r="N333" i="3" s="1"/>
  <c r="N331" i="3"/>
  <c r="J330" i="3"/>
  <c r="J330" i="1" s="1"/>
  <c r="I327" i="3"/>
  <c r="K327" i="3" s="1"/>
  <c r="I326" i="3"/>
  <c r="K326" i="3" s="1"/>
  <c r="I324" i="3"/>
  <c r="K324" i="3" s="1"/>
  <c r="I323" i="3"/>
  <c r="K323" i="3" s="1"/>
  <c r="I322" i="3"/>
  <c r="K322" i="3" s="1"/>
  <c r="I321" i="3"/>
  <c r="I320" i="3"/>
  <c r="K320" i="3" s="1"/>
  <c r="I319" i="3"/>
  <c r="K319" i="3" s="1"/>
  <c r="I318" i="3"/>
  <c r="K318" i="3" s="1"/>
  <c r="I317" i="3"/>
  <c r="K317" i="3" s="1"/>
  <c r="I316" i="3"/>
  <c r="I315" i="3"/>
  <c r="K315" i="3" s="1"/>
  <c r="I314" i="3"/>
  <c r="I313" i="3"/>
  <c r="I312" i="3"/>
  <c r="M301" i="3"/>
  <c r="L301" i="3"/>
  <c r="L300" i="3"/>
  <c r="N298" i="3"/>
  <c r="J296" i="3"/>
  <c r="I293" i="3"/>
  <c r="K293" i="3" s="1"/>
  <c r="I292" i="3"/>
  <c r="I291" i="3"/>
  <c r="K291" i="3" s="1"/>
  <c r="M280" i="3"/>
  <c r="M278" i="3" s="1"/>
  <c r="L280" i="3"/>
  <c r="N280" i="3" s="1"/>
  <c r="L279" i="3"/>
  <c r="N279" i="3" s="1"/>
  <c r="N277" i="3"/>
  <c r="J276" i="3"/>
  <c r="M275" i="3"/>
  <c r="J275" i="3"/>
  <c r="I272" i="3"/>
  <c r="K272" i="3" s="1"/>
  <c r="I271" i="3"/>
  <c r="J270" i="3"/>
  <c r="J244" i="3" s="1"/>
  <c r="I268" i="3"/>
  <c r="K268" i="3" s="1"/>
  <c r="I266" i="3"/>
  <c r="K266" i="3" s="1"/>
  <c r="I264" i="3"/>
  <c r="J263" i="3"/>
  <c r="J245" i="3" s="1"/>
  <c r="I263" i="3"/>
  <c r="I245" i="3" s="1"/>
  <c r="K245" i="3" s="1"/>
  <c r="J262" i="3"/>
  <c r="I260" i="3"/>
  <c r="K260" i="3" s="1"/>
  <c r="J259" i="3"/>
  <c r="M249" i="3"/>
  <c r="M247" i="3" s="1"/>
  <c r="L249" i="3"/>
  <c r="N249" i="3" s="1"/>
  <c r="L248" i="3"/>
  <c r="N246" i="3"/>
  <c r="M244" i="3"/>
  <c r="J241" i="3"/>
  <c r="J240" i="3"/>
  <c r="J228" i="3" s="1"/>
  <c r="I240" i="3"/>
  <c r="J239" i="3"/>
  <c r="J238" i="3"/>
  <c r="I238" i="3"/>
  <c r="J237" i="3"/>
  <c r="J236" i="3"/>
  <c r="I236" i="3"/>
  <c r="J235" i="3"/>
  <c r="I235" i="3"/>
  <c r="J234" i="3"/>
  <c r="L232" i="3"/>
  <c r="N232" i="3" s="1"/>
  <c r="L231" i="3"/>
  <c r="M230" i="3"/>
  <c r="N229" i="3"/>
  <c r="M228" i="3"/>
  <c r="I224" i="3"/>
  <c r="I214" i="3" s="1"/>
  <c r="K214" i="3" s="1"/>
  <c r="L218" i="3"/>
  <c r="N218" i="3" s="1"/>
  <c r="N217" i="3"/>
  <c r="M216" i="3"/>
  <c r="N215" i="3"/>
  <c r="M214" i="3"/>
  <c r="J214" i="3"/>
  <c r="I211" i="3"/>
  <c r="K211" i="3" s="1"/>
  <c r="I209" i="3"/>
  <c r="I199" i="3" s="1"/>
  <c r="K199" i="3" s="1"/>
  <c r="L203" i="3"/>
  <c r="N203" i="3" s="1"/>
  <c r="N202" i="3"/>
  <c r="M201" i="3"/>
  <c r="N200" i="3"/>
  <c r="M199" i="3"/>
  <c r="J199" i="3"/>
  <c r="I195" i="3"/>
  <c r="I185" i="3" s="1"/>
  <c r="K185" i="3" s="1"/>
  <c r="L189" i="3"/>
  <c r="N189" i="3" s="1"/>
  <c r="L188" i="3"/>
  <c r="M187" i="3"/>
  <c r="N186" i="3"/>
  <c r="M185" i="3"/>
  <c r="J185" i="3"/>
  <c r="I182" i="3"/>
  <c r="K182" i="3" s="1"/>
  <c r="I181" i="3"/>
  <c r="K181" i="3" s="1"/>
  <c r="I180" i="3"/>
  <c r="I169" i="3" s="1"/>
  <c r="K169" i="3" s="1"/>
  <c r="I179" i="3"/>
  <c r="K179" i="3" s="1"/>
  <c r="L173" i="3"/>
  <c r="L172" i="3"/>
  <c r="N172" i="3" s="1"/>
  <c r="M171" i="3"/>
  <c r="N170" i="3"/>
  <c r="M169" i="3"/>
  <c r="J169" i="3"/>
  <c r="K164" i="3"/>
  <c r="J158" i="3"/>
  <c r="J144" i="3" s="1"/>
  <c r="I158" i="3"/>
  <c r="K158" i="3" s="1"/>
  <c r="I155" i="3"/>
  <c r="I149" i="3" s="1"/>
  <c r="J149" i="3"/>
  <c r="L148" i="3"/>
  <c r="N148" i="3" s="1"/>
  <c r="N147" i="3"/>
  <c r="M146" i="3"/>
  <c r="N145" i="3"/>
  <c r="M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K138" i="3" s="1"/>
  <c r="L132" i="3"/>
  <c r="L131" i="3" s="1"/>
  <c r="N131" i="3" s="1"/>
  <c r="M131" i="3"/>
  <c r="N130" i="3"/>
  <c r="M129" i="3"/>
  <c r="J129" i="3"/>
  <c r="L126" i="3"/>
  <c r="N126" i="3" s="1"/>
  <c r="I126" i="3"/>
  <c r="K126" i="3" s="1"/>
  <c r="L125" i="3"/>
  <c r="N125" i="3" s="1"/>
  <c r="I125" i="3"/>
  <c r="I114" i="3" s="1"/>
  <c r="K114" i="3" s="1"/>
  <c r="I124" i="3"/>
  <c r="K124" i="3" s="1"/>
  <c r="L117" i="3"/>
  <c r="L116" i="3" s="1"/>
  <c r="L114" i="3" s="1"/>
  <c r="M116" i="3"/>
  <c r="N115" i="3"/>
  <c r="M114" i="3"/>
  <c r="M114" i="1" s="1"/>
  <c r="J114" i="3"/>
  <c r="L111" i="3"/>
  <c r="N111" i="3" s="1"/>
  <c r="I111" i="3"/>
  <c r="L110" i="3"/>
  <c r="N110" i="3" s="1"/>
  <c r="I110" i="3"/>
  <c r="K110" i="3" s="1"/>
  <c r="L104" i="3"/>
  <c r="M103" i="3"/>
  <c r="M103" i="1" s="1"/>
  <c r="N102" i="3"/>
  <c r="J101" i="3"/>
  <c r="L98" i="3"/>
  <c r="N98" i="3" s="1"/>
  <c r="I98" i="3"/>
  <c r="K98" i="3" s="1"/>
  <c r="L92" i="3"/>
  <c r="N92" i="3" s="1"/>
  <c r="M91" i="3"/>
  <c r="N90" i="3"/>
  <c r="M89" i="3"/>
  <c r="J89" i="3"/>
  <c r="J84" i="3"/>
  <c r="I83" i="3"/>
  <c r="L77" i="3"/>
  <c r="N77" i="3" s="1"/>
  <c r="M76" i="3"/>
  <c r="N75" i="3"/>
  <c r="M74" i="3"/>
  <c r="J74" i="3"/>
  <c r="M73" i="3"/>
  <c r="M71" i="3" s="1"/>
  <c r="M68" i="3" s="1"/>
  <c r="L72" i="3"/>
  <c r="N70" i="3"/>
  <c r="J68" i="3"/>
  <c r="I62" i="3"/>
  <c r="K62" i="3" s="1"/>
  <c r="L56" i="3"/>
  <c r="N56" i="3" s="1"/>
  <c r="L55" i="3"/>
  <c r="N55" i="3" s="1"/>
  <c r="M54" i="3"/>
  <c r="M52" i="3" s="1"/>
  <c r="M52" i="1" s="1"/>
  <c r="N53" i="3"/>
  <c r="J52" i="3"/>
  <c r="I48" i="3"/>
  <c r="I47" i="3"/>
  <c r="K47" i="3" s="1"/>
  <c r="I46" i="3"/>
  <c r="I45" i="3"/>
  <c r="K45" i="3" s="1"/>
  <c r="I44" i="3"/>
  <c r="K44" i="3" s="1"/>
  <c r="I43" i="3"/>
  <c r="K43" i="3" s="1"/>
  <c r="L37" i="3"/>
  <c r="N37" i="3" s="1"/>
  <c r="L36" i="3"/>
  <c r="N36" i="3" s="1"/>
  <c r="M35" i="3"/>
  <c r="L35" i="3"/>
  <c r="L32" i="3" s="1"/>
  <c r="N32" i="3" s="1"/>
  <c r="N34" i="3"/>
  <c r="J33" i="3"/>
  <c r="I33" i="3"/>
  <c r="K33" i="3" s="1"/>
  <c r="M32" i="3"/>
  <c r="M6" i="3" s="1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I22" i="3"/>
  <c r="J21" i="3"/>
  <c r="J20" i="3"/>
  <c r="J9" i="3" s="1"/>
  <c r="J9" i="1" s="1"/>
  <c r="L14" i="3"/>
  <c r="N14" i="3" s="1"/>
  <c r="L13" i="3"/>
  <c r="N13" i="3" s="1"/>
  <c r="M12" i="3"/>
  <c r="M9" i="3" s="1"/>
  <c r="L12" i="3"/>
  <c r="L9" i="3" s="1"/>
  <c r="N9" i="3" s="1"/>
  <c r="N11" i="3"/>
  <c r="J10" i="3"/>
  <c r="J528" i="2"/>
  <c r="I528" i="2"/>
  <c r="J527" i="2"/>
  <c r="I527" i="2"/>
  <c r="J526" i="2"/>
  <c r="I526" i="2"/>
  <c r="K526" i="2" s="1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J514" i="1" s="1"/>
  <c r="I514" i="2"/>
  <c r="I513" i="2"/>
  <c r="K518" i="2" s="1"/>
  <c r="J510" i="2"/>
  <c r="I510" i="2"/>
  <c r="J504" i="2"/>
  <c r="J490" i="2" s="1"/>
  <c r="I504" i="2"/>
  <c r="M494" i="2"/>
  <c r="L494" i="2"/>
  <c r="N494" i="2" s="1"/>
  <c r="L493" i="2"/>
  <c r="M492" i="2"/>
  <c r="N491" i="2"/>
  <c r="M490" i="2"/>
  <c r="K489" i="2"/>
  <c r="J489" i="2"/>
  <c r="J488" i="2"/>
  <c r="J473" i="2" s="1"/>
  <c r="I488" i="2"/>
  <c r="K487" i="2"/>
  <c r="J487" i="2"/>
  <c r="J486" i="2"/>
  <c r="I486" i="2"/>
  <c r="K486" i="2" s="1"/>
  <c r="K485" i="2"/>
  <c r="J485" i="2"/>
  <c r="J484" i="2"/>
  <c r="I484" i="2"/>
  <c r="K484" i="2" s="1"/>
  <c r="K483" i="2"/>
  <c r="J483" i="2"/>
  <c r="J482" i="2"/>
  <c r="I482" i="2"/>
  <c r="K482" i="2" s="1"/>
  <c r="M477" i="2"/>
  <c r="L477" i="2"/>
  <c r="N477" i="2" s="1"/>
  <c r="L476" i="2"/>
  <c r="M475" i="2"/>
  <c r="M473" i="2" s="1"/>
  <c r="N474" i="2"/>
  <c r="K472" i="2"/>
  <c r="K471" i="2"/>
  <c r="K470" i="2"/>
  <c r="K469" i="2"/>
  <c r="K468" i="2"/>
  <c r="J466" i="2"/>
  <c r="I466" i="2"/>
  <c r="I457" i="2" s="1"/>
  <c r="K457" i="2" s="1"/>
  <c r="M461" i="2"/>
  <c r="L461" i="2"/>
  <c r="L460" i="2"/>
  <c r="N460" i="2" s="1"/>
  <c r="N458" i="2"/>
  <c r="J457" i="2"/>
  <c r="I456" i="2"/>
  <c r="K456" i="2" s="1"/>
  <c r="I455" i="2"/>
  <c r="K455" i="2" s="1"/>
  <c r="I454" i="2"/>
  <c r="K454" i="2" s="1"/>
  <c r="I453" i="2"/>
  <c r="K453" i="2" s="1"/>
  <c r="M448" i="2"/>
  <c r="L448" i="2"/>
  <c r="N448" i="2" s="1"/>
  <c r="L447" i="2"/>
  <c r="N445" i="2"/>
  <c r="J444" i="2"/>
  <c r="I441" i="2"/>
  <c r="K441" i="2" s="1"/>
  <c r="I440" i="2"/>
  <c r="I426" i="2" s="1"/>
  <c r="K426" i="2" s="1"/>
  <c r="M430" i="2"/>
  <c r="M428" i="2" s="1"/>
  <c r="M426" i="2" s="1"/>
  <c r="L430" i="2"/>
  <c r="L429" i="2"/>
  <c r="N427" i="2"/>
  <c r="J426" i="2"/>
  <c r="K425" i="2"/>
  <c r="K424" i="2"/>
  <c r="K423" i="2"/>
  <c r="K422" i="2"/>
  <c r="K421" i="2"/>
  <c r="K420" i="2"/>
  <c r="J419" i="2"/>
  <c r="J419" i="1" s="1"/>
  <c r="J418" i="2"/>
  <c r="K417" i="2"/>
  <c r="J417" i="2"/>
  <c r="I419" i="2" s="1"/>
  <c r="K416" i="2"/>
  <c r="J416" i="2"/>
  <c r="I418" i="2" s="1"/>
  <c r="K415" i="2"/>
  <c r="J415" i="2"/>
  <c r="K414" i="2"/>
  <c r="J414" i="2"/>
  <c r="K413" i="2"/>
  <c r="J413" i="2"/>
  <c r="K412" i="2"/>
  <c r="J412" i="2"/>
  <c r="I411" i="2"/>
  <c r="K411" i="2" s="1"/>
  <c r="I410" i="2"/>
  <c r="K410" i="2" s="1"/>
  <c r="I409" i="2"/>
  <c r="K409" i="2" s="1"/>
  <c r="K408" i="2"/>
  <c r="K407" i="2"/>
  <c r="K406" i="2"/>
  <c r="K405" i="2"/>
  <c r="K404" i="2"/>
  <c r="K403" i="2"/>
  <c r="K402" i="2"/>
  <c r="J402" i="2"/>
  <c r="J402" i="1" s="1"/>
  <c r="K401" i="2"/>
  <c r="J401" i="2"/>
  <c r="K400" i="2"/>
  <c r="K399" i="2"/>
  <c r="K398" i="2"/>
  <c r="K397" i="2"/>
  <c r="K396" i="2"/>
  <c r="K395" i="2"/>
  <c r="K394" i="2"/>
  <c r="J394" i="2"/>
  <c r="K393" i="2"/>
  <c r="J393" i="2"/>
  <c r="J391" i="2" s="1"/>
  <c r="J390" i="2" s="1"/>
  <c r="I392" i="2"/>
  <c r="K392" i="2" s="1"/>
  <c r="I391" i="2"/>
  <c r="K391" i="2" s="1"/>
  <c r="I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6" i="2"/>
  <c r="J359" i="2" s="1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K361" i="2" s="1"/>
  <c r="J360" i="2"/>
  <c r="I359" i="2"/>
  <c r="M354" i="2"/>
  <c r="M352" i="2" s="1"/>
  <c r="M350" i="2" s="1"/>
  <c r="L354" i="2"/>
  <c r="L353" i="2"/>
  <c r="N353" i="2" s="1"/>
  <c r="N351" i="2"/>
  <c r="I347" i="2"/>
  <c r="I346" i="2"/>
  <c r="K346" i="2" s="1"/>
  <c r="I345" i="2"/>
  <c r="J344" i="2"/>
  <c r="J330" i="2" s="1"/>
  <c r="M334" i="2"/>
  <c r="L334" i="2"/>
  <c r="N334" i="2" s="1"/>
  <c r="L333" i="2"/>
  <c r="N333" i="2" s="1"/>
  <c r="M332" i="2"/>
  <c r="M332" i="1" s="1"/>
  <c r="N331" i="2"/>
  <c r="M330" i="2"/>
  <c r="I327" i="2"/>
  <c r="K327" i="2" s="1"/>
  <c r="I326" i="2"/>
  <c r="I324" i="2"/>
  <c r="K324" i="2" s="1"/>
  <c r="I323" i="2"/>
  <c r="K323" i="2" s="1"/>
  <c r="I322" i="2"/>
  <c r="K322" i="2" s="1"/>
  <c r="I321" i="2"/>
  <c r="I320" i="2"/>
  <c r="I319" i="2"/>
  <c r="K319" i="2" s="1"/>
  <c r="I318" i="2"/>
  <c r="K318" i="2" s="1"/>
  <c r="I317" i="2"/>
  <c r="K317" i="2" s="1"/>
  <c r="I316" i="2"/>
  <c r="I315" i="2"/>
  <c r="I314" i="2"/>
  <c r="K314" i="2" s="1"/>
  <c r="I313" i="2"/>
  <c r="I312" i="2"/>
  <c r="M301" i="2"/>
  <c r="M299" i="2" s="1"/>
  <c r="L301" i="2"/>
  <c r="L300" i="2"/>
  <c r="N298" i="2"/>
  <c r="J296" i="2"/>
  <c r="I293" i="2"/>
  <c r="K293" i="2" s="1"/>
  <c r="I292" i="2"/>
  <c r="I275" i="2" s="1"/>
  <c r="K275" i="2" s="1"/>
  <c r="I291" i="2"/>
  <c r="K291" i="2" s="1"/>
  <c r="M280" i="2"/>
  <c r="M278" i="2" s="1"/>
  <c r="M275" i="2" s="1"/>
  <c r="L280" i="2"/>
  <c r="L279" i="2"/>
  <c r="N279" i="2" s="1"/>
  <c r="N277" i="2"/>
  <c r="J276" i="2"/>
  <c r="J275" i="2"/>
  <c r="I272" i="2"/>
  <c r="K272" i="2" s="1"/>
  <c r="I271" i="2"/>
  <c r="K271" i="2" s="1"/>
  <c r="J270" i="2"/>
  <c r="I268" i="2"/>
  <c r="K268" i="2" s="1"/>
  <c r="I266" i="2"/>
  <c r="I264" i="2"/>
  <c r="K264" i="2" s="1"/>
  <c r="J263" i="2"/>
  <c r="J245" i="2" s="1"/>
  <c r="I263" i="2"/>
  <c r="K263" i="2" s="1"/>
  <c r="J262" i="2"/>
  <c r="I260" i="2"/>
  <c r="K260" i="2" s="1"/>
  <c r="J259" i="2"/>
  <c r="M249" i="2"/>
  <c r="M247" i="2" s="1"/>
  <c r="M244" i="2" s="1"/>
  <c r="L249" i="2"/>
  <c r="N249" i="2" s="1"/>
  <c r="L248" i="2"/>
  <c r="N248" i="2" s="1"/>
  <c r="N246" i="2"/>
  <c r="J244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I228" i="2" s="1"/>
  <c r="J235" i="2"/>
  <c r="I235" i="2"/>
  <c r="K234" i="2"/>
  <c r="J234" i="2"/>
  <c r="L232" i="2"/>
  <c r="N232" i="2" s="1"/>
  <c r="L231" i="2"/>
  <c r="N231" i="2" s="1"/>
  <c r="M230" i="2"/>
  <c r="N229" i="2"/>
  <c r="M228" i="2"/>
  <c r="I224" i="2"/>
  <c r="I214" i="2" s="1"/>
  <c r="K214" i="2" s="1"/>
  <c r="L218" i="2"/>
  <c r="N218" i="2" s="1"/>
  <c r="N217" i="2"/>
  <c r="M216" i="2"/>
  <c r="N215" i="2"/>
  <c r="M214" i="2"/>
  <c r="J214" i="2"/>
  <c r="I211" i="2"/>
  <c r="K211" i="2" s="1"/>
  <c r="I209" i="2"/>
  <c r="I199" i="2" s="1"/>
  <c r="L203" i="2"/>
  <c r="N203" i="2" s="1"/>
  <c r="N202" i="2"/>
  <c r="M201" i="2"/>
  <c r="N200" i="2"/>
  <c r="M199" i="2"/>
  <c r="J199" i="2"/>
  <c r="I195" i="2"/>
  <c r="I185" i="2" s="1"/>
  <c r="K185" i="2" s="1"/>
  <c r="L189" i="2"/>
  <c r="N189" i="2" s="1"/>
  <c r="L188" i="2"/>
  <c r="M187" i="2"/>
  <c r="N186" i="2"/>
  <c r="M185" i="2"/>
  <c r="J185" i="2"/>
  <c r="I182" i="2"/>
  <c r="I181" i="2"/>
  <c r="K181" i="2" s="1"/>
  <c r="I180" i="2"/>
  <c r="I169" i="2" s="1"/>
  <c r="I179" i="2"/>
  <c r="K179" i="2" s="1"/>
  <c r="L173" i="2"/>
  <c r="L172" i="2"/>
  <c r="N172" i="2" s="1"/>
  <c r="M171" i="2"/>
  <c r="M171" i="1" s="1"/>
  <c r="N170" i="2"/>
  <c r="J169" i="2"/>
  <c r="J169" i="1" s="1"/>
  <c r="K164" i="2"/>
  <c r="J158" i="2"/>
  <c r="I158" i="2"/>
  <c r="K158" i="2" s="1"/>
  <c r="I155" i="2"/>
  <c r="K155" i="2" s="1"/>
  <c r="J149" i="2"/>
  <c r="J144" i="2" s="1"/>
  <c r="L148" i="2"/>
  <c r="N148" i="2" s="1"/>
  <c r="N147" i="2"/>
  <c r="M146" i="2"/>
  <c r="N145" i="2"/>
  <c r="M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K138" i="2" s="1"/>
  <c r="L132" i="2"/>
  <c r="L131" i="2" s="1"/>
  <c r="M131" i="2"/>
  <c r="N130" i="2"/>
  <c r="M129" i="2"/>
  <c r="J129" i="2"/>
  <c r="L126" i="2"/>
  <c r="N126" i="2" s="1"/>
  <c r="I126" i="2"/>
  <c r="L125" i="2"/>
  <c r="N125" i="2" s="1"/>
  <c r="I125" i="2"/>
  <c r="I114" i="2" s="1"/>
  <c r="I124" i="2"/>
  <c r="K124" i="2" s="1"/>
  <c r="L117" i="2"/>
  <c r="M116" i="2"/>
  <c r="N115" i="2"/>
  <c r="M114" i="2"/>
  <c r="J114" i="2"/>
  <c r="J114" i="1" s="1"/>
  <c r="L111" i="2"/>
  <c r="N111" i="2" s="1"/>
  <c r="I111" i="2"/>
  <c r="I101" i="2" s="1"/>
  <c r="K101" i="2" s="1"/>
  <c r="L110" i="2"/>
  <c r="N110" i="2" s="1"/>
  <c r="I110" i="2"/>
  <c r="K110" i="2" s="1"/>
  <c r="L104" i="2"/>
  <c r="M103" i="2"/>
  <c r="N102" i="2"/>
  <c r="M101" i="2"/>
  <c r="J101" i="2"/>
  <c r="L98" i="2"/>
  <c r="N98" i="2" s="1"/>
  <c r="I98" i="2"/>
  <c r="L92" i="2"/>
  <c r="L91" i="2" s="1"/>
  <c r="N91" i="2" s="1"/>
  <c r="M91" i="2"/>
  <c r="N90" i="2"/>
  <c r="M89" i="2"/>
  <c r="J89" i="2"/>
  <c r="J84" i="2"/>
  <c r="I83" i="2"/>
  <c r="L77" i="2"/>
  <c r="M76" i="2"/>
  <c r="M74" i="2" s="1"/>
  <c r="N75" i="2"/>
  <c r="J74" i="2"/>
  <c r="M73" i="2"/>
  <c r="M71" i="2" s="1"/>
  <c r="M68" i="2" s="1"/>
  <c r="L72" i="2"/>
  <c r="N72" i="2" s="1"/>
  <c r="N70" i="2"/>
  <c r="J68" i="2"/>
  <c r="I62" i="2"/>
  <c r="K62" i="2" s="1"/>
  <c r="L56" i="2"/>
  <c r="N56" i="2" s="1"/>
  <c r="L55" i="2"/>
  <c r="M54" i="2"/>
  <c r="N53" i="2"/>
  <c r="M52" i="2"/>
  <c r="J52" i="2"/>
  <c r="I48" i="2"/>
  <c r="K48" i="2" s="1"/>
  <c r="I47" i="2"/>
  <c r="K47" i="2" s="1"/>
  <c r="I46" i="2"/>
  <c r="K46" i="2" s="1"/>
  <c r="I45" i="2"/>
  <c r="K45" i="2" s="1"/>
  <c r="I44" i="2"/>
  <c r="K44" i="2" s="1"/>
  <c r="I43" i="2"/>
  <c r="K43" i="2" s="1"/>
  <c r="L37" i="2"/>
  <c r="L36" i="2"/>
  <c r="N36" i="2" s="1"/>
  <c r="M35" i="2"/>
  <c r="L35" i="2"/>
  <c r="L32" i="2" s="1"/>
  <c r="N32" i="2" s="1"/>
  <c r="N34" i="2"/>
  <c r="J33" i="2"/>
  <c r="I33" i="2"/>
  <c r="K33" i="2" s="1"/>
  <c r="M32" i="2"/>
  <c r="J32" i="2"/>
  <c r="I28" i="2"/>
  <c r="K28" i="2" s="1"/>
  <c r="I27" i="2"/>
  <c r="K27" i="2" s="1"/>
  <c r="I26" i="2"/>
  <c r="K26" i="2" s="1"/>
  <c r="I25" i="2"/>
  <c r="K25" i="2" s="1"/>
  <c r="I24" i="2"/>
  <c r="K24" i="2" s="1"/>
  <c r="I23" i="2"/>
  <c r="I22" i="2"/>
  <c r="J21" i="2"/>
  <c r="J10" i="2" s="1"/>
  <c r="J10" i="1" s="1"/>
  <c r="J20" i="2"/>
  <c r="J9" i="2" s="1"/>
  <c r="L14" i="2"/>
  <c r="N14" i="2" s="1"/>
  <c r="L13" i="2"/>
  <c r="N13" i="2" s="1"/>
  <c r="M12" i="2"/>
  <c r="M9" i="2" s="1"/>
  <c r="L12" i="2"/>
  <c r="N12" i="2" s="1"/>
  <c r="N11" i="2"/>
  <c r="J519" i="1"/>
  <c r="J518" i="1"/>
  <c r="J516" i="1"/>
  <c r="J515" i="1"/>
  <c r="J512" i="1"/>
  <c r="J511" i="1"/>
  <c r="J509" i="1"/>
  <c r="J508" i="1"/>
  <c r="J507" i="1"/>
  <c r="J506" i="1"/>
  <c r="J505" i="1"/>
  <c r="J503" i="1"/>
  <c r="J502" i="1"/>
  <c r="J501" i="1"/>
  <c r="J500" i="1"/>
  <c r="M498" i="1"/>
  <c r="M497" i="1"/>
  <c r="M496" i="1"/>
  <c r="M495" i="1"/>
  <c r="M493" i="1"/>
  <c r="N491" i="1"/>
  <c r="M491" i="1"/>
  <c r="L491" i="1"/>
  <c r="M490" i="1"/>
  <c r="M481" i="1"/>
  <c r="M480" i="1"/>
  <c r="M479" i="1"/>
  <c r="M478" i="1"/>
  <c r="M476" i="1"/>
  <c r="M474" i="1"/>
  <c r="L474" i="1"/>
  <c r="N474" i="1" s="1"/>
  <c r="J472" i="1"/>
  <c r="I472" i="1"/>
  <c r="K472" i="1" s="1"/>
  <c r="J471" i="1"/>
  <c r="I471" i="1"/>
  <c r="K471" i="1" s="1"/>
  <c r="K470" i="1"/>
  <c r="J470" i="1"/>
  <c r="I470" i="1"/>
  <c r="K469" i="1"/>
  <c r="J469" i="1"/>
  <c r="I469" i="1"/>
  <c r="J468" i="1"/>
  <c r="I468" i="1"/>
  <c r="K468" i="1" s="1"/>
  <c r="J466" i="1"/>
  <c r="M465" i="1"/>
  <c r="M464" i="1"/>
  <c r="M463" i="1"/>
  <c r="M462" i="1"/>
  <c r="M460" i="1"/>
  <c r="M458" i="1"/>
  <c r="L458" i="1"/>
  <c r="N458" i="1" s="1"/>
  <c r="J457" i="1"/>
  <c r="J456" i="1"/>
  <c r="J455" i="1"/>
  <c r="J454" i="1"/>
  <c r="J453" i="1"/>
  <c r="M452" i="1"/>
  <c r="M451" i="1"/>
  <c r="M450" i="1"/>
  <c r="M449" i="1"/>
  <c r="M447" i="1"/>
  <c r="N445" i="1"/>
  <c r="M445" i="1"/>
  <c r="L445" i="1"/>
  <c r="J444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29" i="1"/>
  <c r="M427" i="1"/>
  <c r="L427" i="1"/>
  <c r="N427" i="1" s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K417" i="1"/>
  <c r="K416" i="1"/>
  <c r="K415" i="1"/>
  <c r="K414" i="1"/>
  <c r="K413" i="1"/>
  <c r="K412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K393" i="1"/>
  <c r="J393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7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M358" i="1"/>
  <c r="M357" i="1"/>
  <c r="M356" i="1"/>
  <c r="M355" i="1"/>
  <c r="M354" i="1"/>
  <c r="M353" i="1"/>
  <c r="N351" i="1"/>
  <c r="M351" i="1"/>
  <c r="L351" i="1"/>
  <c r="J349" i="1"/>
  <c r="J348" i="1"/>
  <c r="J347" i="1"/>
  <c r="J346" i="1"/>
  <c r="J345" i="1"/>
  <c r="J343" i="1"/>
  <c r="J342" i="1"/>
  <c r="J341" i="1"/>
  <c r="J340" i="1"/>
  <c r="M338" i="1"/>
  <c r="M337" i="1"/>
  <c r="M336" i="1"/>
  <c r="M335" i="1"/>
  <c r="M334" i="1"/>
  <c r="M333" i="1"/>
  <c r="N331" i="1"/>
  <c r="M331" i="1"/>
  <c r="L331" i="1"/>
  <c r="M330" i="1"/>
  <c r="J329" i="1"/>
  <c r="J328" i="1"/>
  <c r="J327" i="1"/>
  <c r="J326" i="1"/>
  <c r="J324" i="1"/>
  <c r="J323" i="1"/>
  <c r="J322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0" i="1"/>
  <c r="N298" i="1"/>
  <c r="M298" i="1"/>
  <c r="L298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79" i="1"/>
  <c r="N277" i="1"/>
  <c r="M277" i="1"/>
  <c r="L277" i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N246" i="1"/>
  <c r="M246" i="1"/>
  <c r="L246" i="1"/>
  <c r="K241" i="1"/>
  <c r="I241" i="1"/>
  <c r="I239" i="1"/>
  <c r="K239" i="1" s="1"/>
  <c r="K237" i="1"/>
  <c r="I237" i="1"/>
  <c r="K234" i="1"/>
  <c r="I234" i="1"/>
  <c r="M232" i="1"/>
  <c r="M231" i="1"/>
  <c r="M230" i="1"/>
  <c r="N229" i="1"/>
  <c r="M229" i="1"/>
  <c r="L229" i="1"/>
  <c r="M228" i="1"/>
  <c r="J226" i="1"/>
  <c r="J225" i="1"/>
  <c r="J224" i="1"/>
  <c r="J223" i="1"/>
  <c r="J222" i="1"/>
  <c r="J221" i="1"/>
  <c r="J220" i="1"/>
  <c r="M218" i="1"/>
  <c r="M217" i="1"/>
  <c r="L217" i="1"/>
  <c r="N217" i="1" s="1"/>
  <c r="M216" i="1"/>
  <c r="N215" i="1"/>
  <c r="M215" i="1"/>
  <c r="L215" i="1"/>
  <c r="M214" i="1"/>
  <c r="J214" i="1"/>
  <c r="J213" i="1"/>
  <c r="J212" i="1"/>
  <c r="J211" i="1"/>
  <c r="J209" i="1"/>
  <c r="J208" i="1"/>
  <c r="J207" i="1"/>
  <c r="J206" i="1"/>
  <c r="J205" i="1"/>
  <c r="M203" i="1"/>
  <c r="M202" i="1"/>
  <c r="M201" i="1"/>
  <c r="M200" i="1"/>
  <c r="L200" i="1"/>
  <c r="N200" i="1" s="1"/>
  <c r="J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N170" i="1"/>
  <c r="M170" i="1"/>
  <c r="L170" i="1"/>
  <c r="J166" i="1"/>
  <c r="J165" i="1"/>
  <c r="K164" i="1"/>
  <c r="J164" i="1"/>
  <c r="I164" i="1"/>
  <c r="J163" i="1"/>
  <c r="J162" i="1"/>
  <c r="J161" i="1"/>
  <c r="J160" i="1"/>
  <c r="I158" i="1"/>
  <c r="K158" i="1" s="1"/>
  <c r="J157" i="1"/>
  <c r="J156" i="1"/>
  <c r="J155" i="1"/>
  <c r="J154" i="1"/>
  <c r="J153" i="1"/>
  <c r="J152" i="1"/>
  <c r="J151" i="1"/>
  <c r="J149" i="1"/>
  <c r="M148" i="1"/>
  <c r="M147" i="1"/>
  <c r="M146" i="1"/>
  <c r="M145" i="1"/>
  <c r="L145" i="1"/>
  <c r="N145" i="1" s="1"/>
  <c r="J143" i="1"/>
  <c r="J142" i="1"/>
  <c r="J141" i="1"/>
  <c r="J140" i="1"/>
  <c r="J138" i="1"/>
  <c r="J137" i="1"/>
  <c r="J136" i="1"/>
  <c r="J135" i="1"/>
  <c r="J134" i="1"/>
  <c r="M132" i="1"/>
  <c r="M131" i="1"/>
  <c r="N130" i="1"/>
  <c r="M130" i="1"/>
  <c r="L130" i="1"/>
  <c r="M129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J113" i="1"/>
  <c r="J112" i="1"/>
  <c r="J111" i="1"/>
  <c r="J110" i="1"/>
  <c r="J109" i="1"/>
  <c r="J108" i="1"/>
  <c r="J107" i="1"/>
  <c r="J106" i="1"/>
  <c r="M104" i="1"/>
  <c r="M102" i="1"/>
  <c r="L102" i="1"/>
  <c r="N102" i="1" s="1"/>
  <c r="J101" i="1"/>
  <c r="J100" i="1"/>
  <c r="J99" i="1"/>
  <c r="J98" i="1"/>
  <c r="J97" i="1"/>
  <c r="J96" i="1"/>
  <c r="J95" i="1"/>
  <c r="J94" i="1"/>
  <c r="M92" i="1"/>
  <c r="M91" i="1"/>
  <c r="M90" i="1"/>
  <c r="L90" i="1"/>
  <c r="N90" i="1" s="1"/>
  <c r="M89" i="1"/>
  <c r="J89" i="1"/>
  <c r="J88" i="1"/>
  <c r="J87" i="1"/>
  <c r="J86" i="1"/>
  <c r="J85" i="1"/>
  <c r="J84" i="1" s="1"/>
  <c r="J83" i="1"/>
  <c r="J82" i="1"/>
  <c r="J81" i="1"/>
  <c r="J80" i="1"/>
  <c r="J79" i="1"/>
  <c r="M77" i="1"/>
  <c r="N75" i="1"/>
  <c r="M75" i="1"/>
  <c r="L75" i="1"/>
  <c r="J74" i="1"/>
  <c r="M73" i="1"/>
  <c r="M72" i="1"/>
  <c r="M71" i="1"/>
  <c r="M70" i="1"/>
  <c r="L70" i="1"/>
  <c r="N70" i="1" s="1"/>
  <c r="M68" i="1"/>
  <c r="J65" i="1"/>
  <c r="J64" i="1"/>
  <c r="J63" i="1"/>
  <c r="J62" i="1"/>
  <c r="J61" i="1"/>
  <c r="J60" i="1"/>
  <c r="J59" i="1"/>
  <c r="J58" i="1"/>
  <c r="M56" i="1"/>
  <c r="M55" i="1"/>
  <c r="M54" i="1"/>
  <c r="N53" i="1"/>
  <c r="M53" i="1"/>
  <c r="L53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M34" i="1"/>
  <c r="L34" i="1"/>
  <c r="N34" i="1" s="1"/>
  <c r="J33" i="1"/>
  <c r="M32" i="1"/>
  <c r="J32" i="1"/>
  <c r="J30" i="1"/>
  <c r="J29" i="1"/>
  <c r="K28" i="1"/>
  <c r="J28" i="1"/>
  <c r="J27" i="1"/>
  <c r="J26" i="1"/>
  <c r="J25" i="1"/>
  <c r="J24" i="1"/>
  <c r="J23" i="1"/>
  <c r="J22" i="1"/>
  <c r="J20" i="1"/>
  <c r="J19" i="1"/>
  <c r="J18" i="1"/>
  <c r="J17" i="1"/>
  <c r="J16" i="1"/>
  <c r="M14" i="1"/>
  <c r="M13" i="1"/>
  <c r="N11" i="1"/>
  <c r="M11" i="1"/>
  <c r="L11" i="1"/>
  <c r="I129" i="2" l="1"/>
  <c r="K129" i="2" s="1"/>
  <c r="I89" i="3"/>
  <c r="I490" i="6"/>
  <c r="K490" i="6" s="1"/>
  <c r="K522" i="6"/>
  <c r="L9" i="12"/>
  <c r="N9" i="12" s="1"/>
  <c r="K521" i="11"/>
  <c r="L459" i="6"/>
  <c r="L457" i="6" s="1"/>
  <c r="I245" i="6"/>
  <c r="K245" i="6" s="1"/>
  <c r="J411" i="8"/>
  <c r="L216" i="2"/>
  <c r="N216" i="2" s="1"/>
  <c r="K527" i="9"/>
  <c r="L54" i="2"/>
  <c r="N54" i="2" s="1"/>
  <c r="J411" i="2"/>
  <c r="K466" i="2"/>
  <c r="L91" i="3"/>
  <c r="N91" i="3" s="1"/>
  <c r="I426" i="10"/>
  <c r="K426" i="10" s="1"/>
  <c r="L299" i="2"/>
  <c r="L296" i="2" s="1"/>
  <c r="N296" i="2" s="1"/>
  <c r="J312" i="2"/>
  <c r="K312" i="2" s="1"/>
  <c r="J409" i="10"/>
  <c r="L201" i="7"/>
  <c r="N201" i="7" s="1"/>
  <c r="J411" i="9"/>
  <c r="I262" i="5"/>
  <c r="K262" i="5" s="1"/>
  <c r="L146" i="7"/>
  <c r="N146" i="7" s="1"/>
  <c r="L9" i="11"/>
  <c r="N9" i="11" s="1"/>
  <c r="L201" i="2"/>
  <c r="L199" i="2" s="1"/>
  <c r="N199" i="2" s="1"/>
  <c r="I275" i="10"/>
  <c r="K275" i="10" s="1"/>
  <c r="J321" i="11"/>
  <c r="K321" i="11" s="1"/>
  <c r="J410" i="4"/>
  <c r="L230" i="13"/>
  <c r="N230" i="13" s="1"/>
  <c r="L216" i="15"/>
  <c r="N216" i="15" s="1"/>
  <c r="I214" i="4"/>
  <c r="K214" i="4" s="1"/>
  <c r="J411" i="5"/>
  <c r="J409" i="13"/>
  <c r="K236" i="4"/>
  <c r="J410" i="14"/>
  <c r="L146" i="4"/>
  <c r="N146" i="4" s="1"/>
  <c r="J409" i="5"/>
  <c r="J316" i="6"/>
  <c r="K316" i="6" s="1"/>
  <c r="J411" i="6"/>
  <c r="J411" i="7"/>
  <c r="L216" i="8"/>
  <c r="N216" i="8" s="1"/>
  <c r="J411" i="3"/>
  <c r="I444" i="6"/>
  <c r="K444" i="6" s="1"/>
  <c r="J410" i="12"/>
  <c r="K484" i="13"/>
  <c r="I262" i="14"/>
  <c r="K262" i="14" s="1"/>
  <c r="J411" i="14"/>
  <c r="J411" i="15"/>
  <c r="K527" i="2"/>
  <c r="I426" i="5"/>
  <c r="K426" i="5" s="1"/>
  <c r="K523" i="6"/>
  <c r="I245" i="8"/>
  <c r="K245" i="8" s="1"/>
  <c r="K525" i="9"/>
  <c r="K111" i="11"/>
  <c r="K228" i="12"/>
  <c r="N117" i="14"/>
  <c r="J409" i="14"/>
  <c r="J409" i="2"/>
  <c r="J410" i="3"/>
  <c r="K266" i="5"/>
  <c r="I20" i="9"/>
  <c r="K20" i="9" s="1"/>
  <c r="J411" i="10"/>
  <c r="L131" i="11"/>
  <c r="N131" i="11" s="1"/>
  <c r="K224" i="11"/>
  <c r="J411" i="11"/>
  <c r="J411" i="13"/>
  <c r="K528" i="13"/>
  <c r="L32" i="14"/>
  <c r="N32" i="14" s="1"/>
  <c r="L187" i="15"/>
  <c r="N187" i="15" s="1"/>
  <c r="J411" i="4"/>
  <c r="J411" i="12"/>
  <c r="L32" i="13"/>
  <c r="N32" i="13" s="1"/>
  <c r="J409" i="15"/>
  <c r="K527" i="15"/>
  <c r="I23" i="1"/>
  <c r="K23" i="1" s="1"/>
  <c r="L352" i="4"/>
  <c r="N352" i="4" s="1"/>
  <c r="J312" i="5"/>
  <c r="I149" i="7"/>
  <c r="I144" i="7" s="1"/>
  <c r="K144" i="7" s="1"/>
  <c r="J410" i="7"/>
  <c r="L9" i="9"/>
  <c r="N9" i="9" s="1"/>
  <c r="I169" i="11"/>
  <c r="K169" i="11" s="1"/>
  <c r="N92" i="2"/>
  <c r="K524" i="6"/>
  <c r="K527" i="6"/>
  <c r="I114" i="7"/>
  <c r="K114" i="7" s="1"/>
  <c r="K526" i="7"/>
  <c r="L247" i="9"/>
  <c r="L244" i="9" s="1"/>
  <c r="I325" i="9"/>
  <c r="I245" i="15"/>
  <c r="K245" i="15" s="1"/>
  <c r="L459" i="15"/>
  <c r="L457" i="15" s="1"/>
  <c r="L428" i="2"/>
  <c r="N428" i="2" s="1"/>
  <c r="K521" i="2"/>
  <c r="K238" i="6"/>
  <c r="L131" i="8"/>
  <c r="L129" i="8" s="1"/>
  <c r="N129" i="8" s="1"/>
  <c r="K523" i="9"/>
  <c r="K235" i="13"/>
  <c r="N77" i="2"/>
  <c r="L76" i="2"/>
  <c r="L74" i="2" s="1"/>
  <c r="N74" i="2" s="1"/>
  <c r="I297" i="2"/>
  <c r="K138" i="7"/>
  <c r="I129" i="7"/>
  <c r="K129" i="7" s="1"/>
  <c r="K521" i="7"/>
  <c r="L187" i="8"/>
  <c r="L185" i="8" s="1"/>
  <c r="N185" i="8" s="1"/>
  <c r="K506" i="8"/>
  <c r="K511" i="8"/>
  <c r="K507" i="8"/>
  <c r="I311" i="14"/>
  <c r="N104" i="3"/>
  <c r="L103" i="3"/>
  <c r="L101" i="3" s="1"/>
  <c r="N101" i="3" s="1"/>
  <c r="K180" i="8"/>
  <c r="I169" i="8"/>
  <c r="K169" i="8" s="1"/>
  <c r="K138" i="10"/>
  <c r="I129" i="10"/>
  <c r="K129" i="10" s="1"/>
  <c r="K89" i="11"/>
  <c r="I314" i="1"/>
  <c r="K314" i="1" s="1"/>
  <c r="N203" i="12"/>
  <c r="L201" i="12"/>
  <c r="N201" i="12" s="1"/>
  <c r="J413" i="1"/>
  <c r="K138" i="5"/>
  <c r="K138" i="6"/>
  <c r="I490" i="8"/>
  <c r="N77" i="11"/>
  <c r="I426" i="12"/>
  <c r="K426" i="12" s="1"/>
  <c r="K440" i="12"/>
  <c r="N203" i="14"/>
  <c r="L201" i="14"/>
  <c r="N201" i="14" s="1"/>
  <c r="N104" i="15"/>
  <c r="L103" i="15"/>
  <c r="L101" i="15" s="1"/>
  <c r="N101" i="15" s="1"/>
  <c r="K224" i="15"/>
  <c r="I214" i="15"/>
  <c r="K214" i="15" s="1"/>
  <c r="K484" i="11"/>
  <c r="I473" i="11"/>
  <c r="K473" i="11" s="1"/>
  <c r="K125" i="15"/>
  <c r="I114" i="15"/>
  <c r="K114" i="15" s="1"/>
  <c r="K359" i="15"/>
  <c r="I350" i="15"/>
  <c r="K350" i="15" s="1"/>
  <c r="I317" i="1"/>
  <c r="K317" i="1" s="1"/>
  <c r="L333" i="1"/>
  <c r="N333" i="1" s="1"/>
  <c r="I32" i="2"/>
  <c r="K32" i="2" s="1"/>
  <c r="L187" i="2"/>
  <c r="N187" i="2" s="1"/>
  <c r="L475" i="2"/>
  <c r="N475" i="2" s="1"/>
  <c r="J482" i="1"/>
  <c r="J486" i="1"/>
  <c r="K522" i="2"/>
  <c r="I296" i="4"/>
  <c r="K296" i="4" s="1"/>
  <c r="K484" i="4"/>
  <c r="I473" i="4"/>
  <c r="K473" i="4" s="1"/>
  <c r="K523" i="4"/>
  <c r="K455" i="5"/>
  <c r="I444" i="5"/>
  <c r="K444" i="5" s="1"/>
  <c r="K522" i="5"/>
  <c r="K44" i="6"/>
  <c r="I32" i="6"/>
  <c r="K32" i="6" s="1"/>
  <c r="K506" i="7"/>
  <c r="K504" i="7"/>
  <c r="I490" i="7"/>
  <c r="K490" i="7" s="1"/>
  <c r="I426" i="8"/>
  <c r="K426" i="8" s="1"/>
  <c r="K455" i="10"/>
  <c r="I444" i="10"/>
  <c r="K444" i="10" s="1"/>
  <c r="N76" i="12"/>
  <c r="L74" i="12"/>
  <c r="N74" i="12" s="1"/>
  <c r="K195" i="13"/>
  <c r="I185" i="13"/>
  <c r="K185" i="13" s="1"/>
  <c r="I457" i="14"/>
  <c r="K457" i="14" s="1"/>
  <c r="K466" i="14"/>
  <c r="N354" i="12"/>
  <c r="L459" i="14"/>
  <c r="L457" i="14" s="1"/>
  <c r="I98" i="1"/>
  <c r="K98" i="1" s="1"/>
  <c r="L117" i="1"/>
  <c r="N117" i="1" s="1"/>
  <c r="L171" i="2"/>
  <c r="L169" i="2" s="1"/>
  <c r="N169" i="2" s="1"/>
  <c r="I345" i="1"/>
  <c r="K345" i="1" s="1"/>
  <c r="L332" i="4"/>
  <c r="N332" i="4" s="1"/>
  <c r="K522" i="4"/>
  <c r="K527" i="5"/>
  <c r="K235" i="6"/>
  <c r="K240" i="8"/>
  <c r="L230" i="9"/>
  <c r="L228" i="9" s="1"/>
  <c r="N228" i="9" s="1"/>
  <c r="K238" i="11"/>
  <c r="L475" i="12"/>
  <c r="L473" i="12" s="1"/>
  <c r="L171" i="15"/>
  <c r="L169" i="15" s="1"/>
  <c r="N169" i="15" s="1"/>
  <c r="I444" i="15"/>
  <c r="K444" i="15" s="1"/>
  <c r="K528" i="15"/>
  <c r="I487" i="1"/>
  <c r="K487" i="1" s="1"/>
  <c r="I63" i="2"/>
  <c r="K63" i="2" s="1"/>
  <c r="N55" i="2"/>
  <c r="I320" i="1"/>
  <c r="K320" i="1" s="1"/>
  <c r="K518" i="6"/>
  <c r="K514" i="6"/>
  <c r="K515" i="6"/>
  <c r="K513" i="6"/>
  <c r="N354" i="7"/>
  <c r="L352" i="7"/>
  <c r="N352" i="7" s="1"/>
  <c r="N132" i="10"/>
  <c r="L131" i="10"/>
  <c r="N131" i="10" s="1"/>
  <c r="I350" i="10"/>
  <c r="K350" i="10" s="1"/>
  <c r="K440" i="11"/>
  <c r="I426" i="11"/>
  <c r="K426" i="11" s="1"/>
  <c r="I114" i="10"/>
  <c r="K114" i="10" s="1"/>
  <c r="K125" i="10"/>
  <c r="I260" i="1"/>
  <c r="K260" i="1" s="1"/>
  <c r="I489" i="1"/>
  <c r="K489" i="1" s="1"/>
  <c r="I149" i="2"/>
  <c r="I144" i="2" s="1"/>
  <c r="I262" i="2"/>
  <c r="K262" i="2" s="1"/>
  <c r="I138" i="1"/>
  <c r="K138" i="1" s="1"/>
  <c r="L232" i="1"/>
  <c r="N232" i="1" s="1"/>
  <c r="I236" i="1"/>
  <c r="L301" i="1"/>
  <c r="L37" i="1"/>
  <c r="N37" i="1" s="1"/>
  <c r="I52" i="2"/>
  <c r="K52" i="2" s="1"/>
  <c r="I111" i="1"/>
  <c r="K111" i="1" s="1"/>
  <c r="I325" i="2"/>
  <c r="J410" i="2"/>
  <c r="L492" i="2"/>
  <c r="N492" i="2" s="1"/>
  <c r="K48" i="4"/>
  <c r="I33" i="4"/>
  <c r="K33" i="4" s="1"/>
  <c r="K155" i="5"/>
  <c r="I149" i="5"/>
  <c r="I144" i="5" s="1"/>
  <c r="K144" i="5" s="1"/>
  <c r="N493" i="5"/>
  <c r="L492" i="5"/>
  <c r="N492" i="5" s="1"/>
  <c r="N333" i="6"/>
  <c r="L332" i="6"/>
  <c r="L330" i="6" s="1"/>
  <c r="N330" i="6" s="1"/>
  <c r="I214" i="7"/>
  <c r="K214" i="7" s="1"/>
  <c r="L91" i="9"/>
  <c r="N91" i="9" s="1"/>
  <c r="N92" i="9"/>
  <c r="K180" i="9"/>
  <c r="I169" i="9"/>
  <c r="K169" i="9" s="1"/>
  <c r="N188" i="10"/>
  <c r="L187" i="10"/>
  <c r="N187" i="10" s="1"/>
  <c r="N35" i="12"/>
  <c r="L32" i="12"/>
  <c r="N32" i="12" s="1"/>
  <c r="K292" i="12"/>
  <c r="I275" i="12"/>
  <c r="K275" i="12" s="1"/>
  <c r="I129" i="13"/>
  <c r="K129" i="13" s="1"/>
  <c r="K138" i="13"/>
  <c r="L146" i="15"/>
  <c r="N300" i="6"/>
  <c r="L299" i="6"/>
  <c r="L296" i="6" s="1"/>
  <c r="N296" i="6" s="1"/>
  <c r="K506" i="15"/>
  <c r="I490" i="15"/>
  <c r="K490" i="15" s="1"/>
  <c r="I45" i="1"/>
  <c r="K45" i="1" s="1"/>
  <c r="K195" i="2"/>
  <c r="J484" i="1"/>
  <c r="I275" i="8"/>
  <c r="K275" i="8" s="1"/>
  <c r="K292" i="8"/>
  <c r="I149" i="9"/>
  <c r="I144" i="9" s="1"/>
  <c r="K144" i="9" s="1"/>
  <c r="K155" i="9"/>
  <c r="I275" i="9"/>
  <c r="K275" i="9" s="1"/>
  <c r="K292" i="9"/>
  <c r="N104" i="10"/>
  <c r="L103" i="10"/>
  <c r="N103" i="10" s="1"/>
  <c r="I20" i="11"/>
  <c r="K22" i="11"/>
  <c r="K62" i="15"/>
  <c r="I52" i="15"/>
  <c r="K52" i="15" s="1"/>
  <c r="I444" i="7"/>
  <c r="K444" i="7" s="1"/>
  <c r="I68" i="9"/>
  <c r="K68" i="9" s="1"/>
  <c r="K238" i="12"/>
  <c r="K240" i="12"/>
  <c r="I426" i="13"/>
  <c r="K426" i="13" s="1"/>
  <c r="K523" i="13"/>
  <c r="L171" i="14"/>
  <c r="N171" i="14" s="1"/>
  <c r="K209" i="14"/>
  <c r="K523" i="14"/>
  <c r="N172" i="15"/>
  <c r="K195" i="15"/>
  <c r="K235" i="15"/>
  <c r="N353" i="15"/>
  <c r="L230" i="3"/>
  <c r="N230" i="3" s="1"/>
  <c r="L299" i="3"/>
  <c r="L296" i="3" s="1"/>
  <c r="I296" i="3"/>
  <c r="K296" i="3" s="1"/>
  <c r="L171" i="4"/>
  <c r="L169" i="4" s="1"/>
  <c r="N169" i="4" s="1"/>
  <c r="K235" i="4"/>
  <c r="L428" i="4"/>
  <c r="N428" i="4" s="1"/>
  <c r="L216" i="5"/>
  <c r="N216" i="5" s="1"/>
  <c r="L230" i="5"/>
  <c r="L228" i="5" s="1"/>
  <c r="N228" i="5" s="1"/>
  <c r="K235" i="5"/>
  <c r="K359" i="5"/>
  <c r="L171" i="6"/>
  <c r="L169" i="6" s="1"/>
  <c r="N169" i="6" s="1"/>
  <c r="L146" i="8"/>
  <c r="L144" i="8" s="1"/>
  <c r="N144" i="8" s="1"/>
  <c r="I350" i="8"/>
  <c r="K350" i="8" s="1"/>
  <c r="K359" i="8"/>
  <c r="I376" i="8"/>
  <c r="K376" i="8" s="1"/>
  <c r="K236" i="9"/>
  <c r="L492" i="9"/>
  <c r="L490" i="9" s="1"/>
  <c r="N490" i="9" s="1"/>
  <c r="K224" i="10"/>
  <c r="K235" i="10"/>
  <c r="I296" i="11"/>
  <c r="K296" i="11" s="1"/>
  <c r="I129" i="15"/>
  <c r="K129" i="15" s="1"/>
  <c r="K240" i="15"/>
  <c r="K524" i="15"/>
  <c r="L332" i="3"/>
  <c r="L330" i="3" s="1"/>
  <c r="N330" i="3" s="1"/>
  <c r="I444" i="3"/>
  <c r="K444" i="3" s="1"/>
  <c r="I25" i="1"/>
  <c r="K25" i="1" s="1"/>
  <c r="L299" i="4"/>
  <c r="N299" i="4" s="1"/>
  <c r="K238" i="5"/>
  <c r="K482" i="5"/>
  <c r="K486" i="5"/>
  <c r="K488" i="5"/>
  <c r="I262" i="6"/>
  <c r="K262" i="6" s="1"/>
  <c r="K263" i="6"/>
  <c r="L278" i="6"/>
  <c r="L275" i="6" s="1"/>
  <c r="I32" i="7"/>
  <c r="K32" i="7" s="1"/>
  <c r="I262" i="7"/>
  <c r="K262" i="7" s="1"/>
  <c r="K466" i="7"/>
  <c r="L248" i="1"/>
  <c r="N248" i="1" s="1"/>
  <c r="L55" i="1"/>
  <c r="N55" i="1" s="1"/>
  <c r="L278" i="9"/>
  <c r="N278" i="9" s="1"/>
  <c r="I311" i="9"/>
  <c r="K522" i="9"/>
  <c r="J526" i="1"/>
  <c r="L278" i="11"/>
  <c r="N278" i="11" s="1"/>
  <c r="N461" i="13"/>
  <c r="I344" i="15"/>
  <c r="K344" i="15" s="1"/>
  <c r="L230" i="2"/>
  <c r="N92" i="4"/>
  <c r="L91" i="4"/>
  <c r="L89" i="4" s="1"/>
  <c r="N89" i="4" s="1"/>
  <c r="I169" i="4"/>
  <c r="K169" i="4" s="1"/>
  <c r="I199" i="4"/>
  <c r="K199" i="4" s="1"/>
  <c r="K209" i="4"/>
  <c r="K83" i="6"/>
  <c r="I74" i="6"/>
  <c r="K74" i="6" s="1"/>
  <c r="I350" i="3"/>
  <c r="K350" i="3" s="1"/>
  <c r="K359" i="3"/>
  <c r="I32" i="4"/>
  <c r="K32" i="4" s="1"/>
  <c r="N279" i="5"/>
  <c r="L278" i="5"/>
  <c r="L275" i="5" s="1"/>
  <c r="N461" i="5"/>
  <c r="L459" i="5"/>
  <c r="N459" i="5" s="1"/>
  <c r="K361" i="9"/>
  <c r="I377" i="9"/>
  <c r="K377" i="9" s="1"/>
  <c r="I369" i="9"/>
  <c r="K369" i="9" s="1"/>
  <c r="K27" i="14"/>
  <c r="I21" i="14"/>
  <c r="I10" i="14" s="1"/>
  <c r="K10" i="14" s="1"/>
  <c r="K315" i="2"/>
  <c r="K440" i="2"/>
  <c r="K506" i="2"/>
  <c r="K508" i="2"/>
  <c r="J321" i="3"/>
  <c r="K321" i="3" s="1"/>
  <c r="I140" i="1"/>
  <c r="K140" i="1" s="1"/>
  <c r="I521" i="1"/>
  <c r="N12" i="5"/>
  <c r="L9" i="5"/>
  <c r="N9" i="5" s="1"/>
  <c r="I268" i="1"/>
  <c r="K268" i="1" s="1"/>
  <c r="I524" i="1"/>
  <c r="N104" i="6"/>
  <c r="L103" i="6"/>
  <c r="N103" i="6" s="1"/>
  <c r="K111" i="6"/>
  <c r="I101" i="6"/>
  <c r="K101" i="6" s="1"/>
  <c r="K125" i="6"/>
  <c r="I114" i="6"/>
  <c r="K114" i="6" s="1"/>
  <c r="L146" i="6"/>
  <c r="K48" i="7"/>
  <c r="I33" i="7"/>
  <c r="K33" i="7" s="1"/>
  <c r="K484" i="7"/>
  <c r="I473" i="7"/>
  <c r="K473" i="7" s="1"/>
  <c r="K48" i="8"/>
  <c r="I33" i="8"/>
  <c r="K33" i="8" s="1"/>
  <c r="L201" i="9"/>
  <c r="N201" i="9" s="1"/>
  <c r="J409" i="9"/>
  <c r="J410" i="9"/>
  <c r="K327" i="10"/>
  <c r="I325" i="10"/>
  <c r="N334" i="10"/>
  <c r="L332" i="10"/>
  <c r="L330" i="10" s="1"/>
  <c r="N330" i="10" s="1"/>
  <c r="K111" i="12"/>
  <c r="I101" i="12"/>
  <c r="K101" i="12" s="1"/>
  <c r="J321" i="13"/>
  <c r="K321" i="13" s="1"/>
  <c r="K324" i="13"/>
  <c r="J410" i="13"/>
  <c r="L475" i="14"/>
  <c r="L473" i="14" s="1"/>
  <c r="N473" i="14" s="1"/>
  <c r="N476" i="14"/>
  <c r="K44" i="15"/>
  <c r="I32" i="15"/>
  <c r="K32" i="15" s="1"/>
  <c r="K515" i="15"/>
  <c r="K513" i="15"/>
  <c r="K518" i="15"/>
  <c r="K514" i="15"/>
  <c r="I228" i="6"/>
  <c r="K228" i="6" s="1"/>
  <c r="K236" i="6"/>
  <c r="N203" i="8"/>
  <c r="L201" i="8"/>
  <c r="N201" i="8" s="1"/>
  <c r="L92" i="1"/>
  <c r="N92" i="1" s="1"/>
  <c r="L189" i="1"/>
  <c r="N189" i="1" s="1"/>
  <c r="L218" i="1"/>
  <c r="N218" i="1" s="1"/>
  <c r="I483" i="1"/>
  <c r="K483" i="1" s="1"/>
  <c r="N188" i="2"/>
  <c r="K292" i="2"/>
  <c r="N429" i="2"/>
  <c r="L13" i="1"/>
  <c r="N13" i="1" s="1"/>
  <c r="I327" i="1"/>
  <c r="K327" i="1" s="1"/>
  <c r="I346" i="1"/>
  <c r="K346" i="1" s="1"/>
  <c r="I411" i="1"/>
  <c r="K411" i="1" s="1"/>
  <c r="K111" i="2"/>
  <c r="I68" i="2"/>
  <c r="K68" i="2" s="1"/>
  <c r="J236" i="1"/>
  <c r="K238" i="2"/>
  <c r="I313" i="1"/>
  <c r="K313" i="1" s="1"/>
  <c r="L430" i="1"/>
  <c r="N493" i="2"/>
  <c r="I46" i="1"/>
  <c r="K46" i="1" s="1"/>
  <c r="N231" i="3"/>
  <c r="I238" i="1"/>
  <c r="I262" i="3"/>
  <c r="K262" i="3" s="1"/>
  <c r="K264" i="3"/>
  <c r="K292" i="3"/>
  <c r="I275" i="3"/>
  <c r="K275" i="3" s="1"/>
  <c r="I369" i="3"/>
  <c r="K369" i="3" s="1"/>
  <c r="K361" i="3"/>
  <c r="K83" i="4"/>
  <c r="I74" i="4"/>
  <c r="K74" i="4" s="1"/>
  <c r="L216" i="4"/>
  <c r="K264" i="4"/>
  <c r="I262" i="4"/>
  <c r="K262" i="4" s="1"/>
  <c r="L475" i="4"/>
  <c r="L473" i="4" s="1"/>
  <c r="N473" i="4" s="1"/>
  <c r="N91" i="5"/>
  <c r="L89" i="5"/>
  <c r="N89" i="5" s="1"/>
  <c r="L103" i="5"/>
  <c r="L101" i="5" s="1"/>
  <c r="N101" i="5" s="1"/>
  <c r="N104" i="5"/>
  <c r="I264" i="1"/>
  <c r="K264" i="1" s="1"/>
  <c r="J415" i="1"/>
  <c r="K511" i="5"/>
  <c r="K506" i="5"/>
  <c r="I63" i="6"/>
  <c r="K63" i="6" s="1"/>
  <c r="K319" i="6"/>
  <c r="J409" i="6"/>
  <c r="J410" i="6"/>
  <c r="I426" i="6"/>
  <c r="K426" i="6" s="1"/>
  <c r="I63" i="7"/>
  <c r="K63" i="7" s="1"/>
  <c r="K62" i="7"/>
  <c r="K455" i="7"/>
  <c r="K519" i="8"/>
  <c r="K516" i="8"/>
  <c r="K518" i="8"/>
  <c r="K515" i="8"/>
  <c r="K513" i="8"/>
  <c r="K514" i="8"/>
  <c r="K521" i="8"/>
  <c r="N117" i="9"/>
  <c r="L116" i="9"/>
  <c r="N116" i="9" s="1"/>
  <c r="L131" i="9"/>
  <c r="N132" i="9"/>
  <c r="K266" i="9"/>
  <c r="I262" i="9"/>
  <c r="K262" i="9" s="1"/>
  <c r="N117" i="10"/>
  <c r="K155" i="10"/>
  <c r="I149" i="10"/>
  <c r="N218" i="11"/>
  <c r="L216" i="11"/>
  <c r="N216" i="11" s="1"/>
  <c r="N279" i="11"/>
  <c r="K83" i="13"/>
  <c r="I74" i="13"/>
  <c r="K74" i="13" s="1"/>
  <c r="N231" i="13"/>
  <c r="I262" i="13"/>
  <c r="K262" i="13" s="1"/>
  <c r="K264" i="13"/>
  <c r="L332" i="13"/>
  <c r="L330" i="13" s="1"/>
  <c r="N330" i="13" s="1"/>
  <c r="N333" i="13"/>
  <c r="I377" i="14"/>
  <c r="K377" i="14" s="1"/>
  <c r="I369" i="14"/>
  <c r="K369" i="14" s="1"/>
  <c r="K361" i="14"/>
  <c r="I267" i="4"/>
  <c r="K267" i="4" s="1"/>
  <c r="K263" i="4"/>
  <c r="N77" i="9"/>
  <c r="L76" i="9"/>
  <c r="N76" i="9" s="1"/>
  <c r="K24" i="13"/>
  <c r="I20" i="13"/>
  <c r="I9" i="13" s="1"/>
  <c r="K9" i="13" s="1"/>
  <c r="L429" i="1"/>
  <c r="N429" i="1" s="1"/>
  <c r="L104" i="1"/>
  <c r="N104" i="1" s="1"/>
  <c r="I27" i="1"/>
  <c r="K27" i="1" s="1"/>
  <c r="L36" i="1"/>
  <c r="N36" i="1" s="1"/>
  <c r="I47" i="1"/>
  <c r="K47" i="1" s="1"/>
  <c r="I263" i="1"/>
  <c r="K263" i="1" s="1"/>
  <c r="I293" i="1"/>
  <c r="K293" i="1" s="1"/>
  <c r="I319" i="1"/>
  <c r="K319" i="1" s="1"/>
  <c r="I485" i="1"/>
  <c r="K485" i="1" s="1"/>
  <c r="J237" i="1"/>
  <c r="L278" i="2"/>
  <c r="L275" i="2" s="1"/>
  <c r="N275" i="2" s="1"/>
  <c r="I347" i="1"/>
  <c r="K347" i="1" s="1"/>
  <c r="L352" i="2"/>
  <c r="L350" i="2" s="1"/>
  <c r="N350" i="2" s="1"/>
  <c r="I390" i="1"/>
  <c r="L459" i="2"/>
  <c r="L457" i="2" s="1"/>
  <c r="J487" i="1"/>
  <c r="I32" i="3"/>
  <c r="K32" i="3" s="1"/>
  <c r="N300" i="3"/>
  <c r="L475" i="3"/>
  <c r="N475" i="3" s="1"/>
  <c r="K507" i="3"/>
  <c r="K511" i="3"/>
  <c r="K506" i="3"/>
  <c r="I490" i="3"/>
  <c r="K490" i="3" s="1"/>
  <c r="K528" i="3"/>
  <c r="I265" i="4"/>
  <c r="K265" i="4" s="1"/>
  <c r="N92" i="5"/>
  <c r="L171" i="5"/>
  <c r="N171" i="5" s="1"/>
  <c r="K224" i="5"/>
  <c r="K484" i="5"/>
  <c r="I473" i="5"/>
  <c r="K473" i="5" s="1"/>
  <c r="I490" i="5"/>
  <c r="K490" i="5" s="1"/>
  <c r="N55" i="6"/>
  <c r="L54" i="6"/>
  <c r="N54" i="6" s="1"/>
  <c r="K98" i="6"/>
  <c r="I89" i="6"/>
  <c r="K89" i="6" s="1"/>
  <c r="L116" i="6"/>
  <c r="L114" i="6" s="1"/>
  <c r="N114" i="6" s="1"/>
  <c r="N117" i="6"/>
  <c r="I296" i="6"/>
  <c r="K296" i="6" s="1"/>
  <c r="K209" i="7"/>
  <c r="J409" i="7"/>
  <c r="L230" i="8"/>
  <c r="N231" i="8"/>
  <c r="L446" i="8"/>
  <c r="N446" i="8" s="1"/>
  <c r="K488" i="8"/>
  <c r="I101" i="9"/>
  <c r="K101" i="9" s="1"/>
  <c r="K521" i="9"/>
  <c r="L9" i="10"/>
  <c r="N9" i="10" s="1"/>
  <c r="L54" i="10"/>
  <c r="N54" i="10" s="1"/>
  <c r="N55" i="10"/>
  <c r="N218" i="10"/>
  <c r="L216" i="10"/>
  <c r="L214" i="10" s="1"/>
  <c r="N214" i="10" s="1"/>
  <c r="K238" i="10"/>
  <c r="K528" i="10"/>
  <c r="K27" i="11"/>
  <c r="I21" i="11"/>
  <c r="K21" i="11" s="1"/>
  <c r="K195" i="11"/>
  <c r="L171" i="3"/>
  <c r="L169" i="3" s="1"/>
  <c r="N169" i="3" s="1"/>
  <c r="J241" i="1"/>
  <c r="J483" i="1"/>
  <c r="K523" i="3"/>
  <c r="K527" i="3"/>
  <c r="I444" i="4"/>
  <c r="K444" i="4" s="1"/>
  <c r="L459" i="4"/>
  <c r="L457" i="4" s="1"/>
  <c r="L247" i="5"/>
  <c r="L244" i="5" s="1"/>
  <c r="L247" i="6"/>
  <c r="L244" i="6" s="1"/>
  <c r="N244" i="6" s="1"/>
  <c r="I344" i="6"/>
  <c r="I330" i="6" s="1"/>
  <c r="K330" i="6" s="1"/>
  <c r="I344" i="7"/>
  <c r="I330" i="7" s="1"/>
  <c r="K330" i="7" s="1"/>
  <c r="K527" i="7"/>
  <c r="K235" i="8"/>
  <c r="N334" i="8"/>
  <c r="K482" i="8"/>
  <c r="K522" i="8"/>
  <c r="K240" i="9"/>
  <c r="L171" i="10"/>
  <c r="L169" i="10" s="1"/>
  <c r="N169" i="10" s="1"/>
  <c r="K314" i="10"/>
  <c r="J312" i="10"/>
  <c r="K312" i="10" s="1"/>
  <c r="L475" i="10"/>
  <c r="L473" i="10" s="1"/>
  <c r="N473" i="10" s="1"/>
  <c r="K484" i="10"/>
  <c r="I473" i="10"/>
  <c r="K473" i="10" s="1"/>
  <c r="I270" i="11"/>
  <c r="I244" i="11" s="1"/>
  <c r="K244" i="11" s="1"/>
  <c r="K271" i="11"/>
  <c r="K291" i="12"/>
  <c r="I276" i="12"/>
  <c r="K276" i="12" s="1"/>
  <c r="I360" i="12"/>
  <c r="K360" i="12" s="1"/>
  <c r="I350" i="12"/>
  <c r="K350" i="12" s="1"/>
  <c r="N172" i="13"/>
  <c r="L171" i="13"/>
  <c r="L169" i="13" s="1"/>
  <c r="N169" i="13" s="1"/>
  <c r="I169" i="13"/>
  <c r="K169" i="13" s="1"/>
  <c r="K180" i="13"/>
  <c r="N202" i="13"/>
  <c r="L201" i="13"/>
  <c r="L199" i="13" s="1"/>
  <c r="N199" i="13" s="1"/>
  <c r="K522" i="13"/>
  <c r="K524" i="13"/>
  <c r="L103" i="14"/>
  <c r="N104" i="14"/>
  <c r="L278" i="14"/>
  <c r="K455" i="14"/>
  <c r="I444" i="14"/>
  <c r="K444" i="14" s="1"/>
  <c r="K484" i="15"/>
  <c r="I473" i="15"/>
  <c r="K473" i="15" s="1"/>
  <c r="I528" i="1"/>
  <c r="I48" i="1"/>
  <c r="K48" i="1" s="1"/>
  <c r="I63" i="3"/>
  <c r="K63" i="3" s="1"/>
  <c r="L72" i="1"/>
  <c r="N72" i="1" s="1"/>
  <c r="I129" i="3"/>
  <c r="L187" i="3"/>
  <c r="N187" i="3" s="1"/>
  <c r="K224" i="3"/>
  <c r="L278" i="3"/>
  <c r="L275" i="3" s="1"/>
  <c r="N275" i="3" s="1"/>
  <c r="L492" i="3"/>
  <c r="L490" i="3" s="1"/>
  <c r="N490" i="3" s="1"/>
  <c r="K524" i="3"/>
  <c r="I62" i="1"/>
  <c r="K62" i="1" s="1"/>
  <c r="I179" i="1"/>
  <c r="K179" i="1" s="1"/>
  <c r="K238" i="4"/>
  <c r="L353" i="1"/>
  <c r="N353" i="1" s="1"/>
  <c r="I410" i="1"/>
  <c r="K410" i="1" s="1"/>
  <c r="L492" i="4"/>
  <c r="L490" i="4" s="1"/>
  <c r="N490" i="4" s="1"/>
  <c r="L187" i="5"/>
  <c r="N187" i="5" s="1"/>
  <c r="L332" i="5"/>
  <c r="L330" i="5" s="1"/>
  <c r="N330" i="5" s="1"/>
  <c r="I456" i="1"/>
  <c r="K521" i="5"/>
  <c r="L171" i="7"/>
  <c r="N171" i="7" s="1"/>
  <c r="K240" i="7"/>
  <c r="I311" i="7"/>
  <c r="K486" i="8"/>
  <c r="L428" i="9"/>
  <c r="N428" i="9" s="1"/>
  <c r="K524" i="9"/>
  <c r="K235" i="11"/>
  <c r="I265" i="11"/>
  <c r="K265" i="11" s="1"/>
  <c r="K263" i="11"/>
  <c r="I267" i="11"/>
  <c r="K267" i="11" s="1"/>
  <c r="I360" i="11"/>
  <c r="K360" i="11" s="1"/>
  <c r="I350" i="11"/>
  <c r="K350" i="11" s="1"/>
  <c r="K48" i="12"/>
  <c r="I33" i="12"/>
  <c r="K33" i="12" s="1"/>
  <c r="K486" i="12"/>
  <c r="N55" i="15"/>
  <c r="L54" i="15"/>
  <c r="L52" i="15" s="1"/>
  <c r="N52" i="15" s="1"/>
  <c r="I262" i="10"/>
  <c r="K262" i="10" s="1"/>
  <c r="L278" i="10"/>
  <c r="L275" i="10" s="1"/>
  <c r="K521" i="10"/>
  <c r="K359" i="11"/>
  <c r="K525" i="11"/>
  <c r="K521" i="13"/>
  <c r="K527" i="13"/>
  <c r="K521" i="14"/>
  <c r="K238" i="15"/>
  <c r="K522" i="15"/>
  <c r="J410" i="10"/>
  <c r="L230" i="11"/>
  <c r="L228" i="11" s="1"/>
  <c r="N228" i="11" s="1"/>
  <c r="L230" i="12"/>
  <c r="N230" i="12" s="1"/>
  <c r="K235" i="12"/>
  <c r="L187" i="13"/>
  <c r="K238" i="13"/>
  <c r="K240" i="13"/>
  <c r="K238" i="14"/>
  <c r="L428" i="14"/>
  <c r="L426" i="14" s="1"/>
  <c r="K522" i="14"/>
  <c r="L428" i="15"/>
  <c r="L493" i="1"/>
  <c r="N493" i="1" s="1"/>
  <c r="K419" i="2"/>
  <c r="I419" i="1"/>
  <c r="K419" i="1" s="1"/>
  <c r="N103" i="4"/>
  <c r="L101" i="4"/>
  <c r="N101" i="4" s="1"/>
  <c r="K129" i="4"/>
  <c r="I68" i="4"/>
  <c r="K68" i="4" s="1"/>
  <c r="K129" i="5"/>
  <c r="I68" i="5"/>
  <c r="K68" i="5" s="1"/>
  <c r="L426" i="4"/>
  <c r="N426" i="4" s="1"/>
  <c r="N116" i="3"/>
  <c r="L201" i="3"/>
  <c r="I270" i="4"/>
  <c r="K270" i="4" s="1"/>
  <c r="I24" i="1"/>
  <c r="K24" i="1" s="1"/>
  <c r="I141" i="1"/>
  <c r="K141" i="1" s="1"/>
  <c r="I240" i="1"/>
  <c r="I266" i="1"/>
  <c r="K266" i="1" s="1"/>
  <c r="I441" i="1"/>
  <c r="K441" i="1" s="1"/>
  <c r="L461" i="1"/>
  <c r="K180" i="3"/>
  <c r="I265" i="3"/>
  <c r="K265" i="3" s="1"/>
  <c r="K313" i="3"/>
  <c r="I426" i="3"/>
  <c r="K426" i="3" s="1"/>
  <c r="J528" i="1"/>
  <c r="K25" i="4"/>
  <c r="K125" i="4"/>
  <c r="K138" i="4"/>
  <c r="I149" i="4"/>
  <c r="K149" i="4" s="1"/>
  <c r="K179" i="4"/>
  <c r="N300" i="4"/>
  <c r="K44" i="5"/>
  <c r="K125" i="5"/>
  <c r="K268" i="5"/>
  <c r="L352" i="6"/>
  <c r="N352" i="6" s="1"/>
  <c r="N353" i="6"/>
  <c r="I228" i="7"/>
  <c r="K228" i="7" s="1"/>
  <c r="K236" i="7"/>
  <c r="K345" i="7"/>
  <c r="I129" i="8"/>
  <c r="K129" i="8" s="1"/>
  <c r="I21" i="9"/>
  <c r="N104" i="9"/>
  <c r="L103" i="9"/>
  <c r="K126" i="9"/>
  <c r="N429" i="9"/>
  <c r="K440" i="9"/>
  <c r="L475" i="9"/>
  <c r="N476" i="9"/>
  <c r="L91" i="10"/>
  <c r="N92" i="10"/>
  <c r="L74" i="11"/>
  <c r="N74" i="11" s="1"/>
  <c r="K506" i="11"/>
  <c r="K507" i="11"/>
  <c r="K511" i="11"/>
  <c r="K508" i="11"/>
  <c r="K505" i="11"/>
  <c r="K509" i="11"/>
  <c r="K512" i="11"/>
  <c r="K263" i="12"/>
  <c r="I245" i="12"/>
  <c r="I267" i="12"/>
  <c r="K267" i="12" s="1"/>
  <c r="L216" i="13"/>
  <c r="N217" i="13"/>
  <c r="K195" i="14"/>
  <c r="I185" i="14"/>
  <c r="K185" i="14" s="1"/>
  <c r="K453" i="15"/>
  <c r="N460" i="15"/>
  <c r="N493" i="15"/>
  <c r="K504" i="15"/>
  <c r="L146" i="2"/>
  <c r="L247" i="2"/>
  <c r="N116" i="5"/>
  <c r="I185" i="6"/>
  <c r="K185" i="6" s="1"/>
  <c r="K195" i="6"/>
  <c r="L32" i="7"/>
  <c r="N32" i="7" s="1"/>
  <c r="N35" i="7"/>
  <c r="I199" i="8"/>
  <c r="K199" i="8" s="1"/>
  <c r="L187" i="9"/>
  <c r="N188" i="9"/>
  <c r="L459" i="9"/>
  <c r="N459" i="9" s="1"/>
  <c r="N460" i="9"/>
  <c r="K83" i="11"/>
  <c r="I74" i="11"/>
  <c r="K74" i="11" s="1"/>
  <c r="L475" i="11"/>
  <c r="L473" i="11" s="1"/>
  <c r="N473" i="11" s="1"/>
  <c r="N476" i="11"/>
  <c r="K83" i="12"/>
  <c r="I74" i="12"/>
  <c r="K74" i="12" s="1"/>
  <c r="I270" i="12"/>
  <c r="I244" i="12" s="1"/>
  <c r="K244" i="12" s="1"/>
  <c r="K511" i="15"/>
  <c r="I43" i="1"/>
  <c r="K43" i="1" s="1"/>
  <c r="L77" i="1"/>
  <c r="N77" i="1" s="1"/>
  <c r="I126" i="1"/>
  <c r="K126" i="1" s="1"/>
  <c r="I155" i="1"/>
  <c r="K155" i="1" s="1"/>
  <c r="I181" i="1"/>
  <c r="K181" i="1" s="1"/>
  <c r="L279" i="1"/>
  <c r="N279" i="1" s="1"/>
  <c r="I292" i="1"/>
  <c r="K292" i="1" s="1"/>
  <c r="I322" i="1"/>
  <c r="K322" i="1" s="1"/>
  <c r="I455" i="1"/>
  <c r="K455" i="1" s="1"/>
  <c r="K23" i="2"/>
  <c r="L116" i="2"/>
  <c r="K125" i="2"/>
  <c r="J239" i="1"/>
  <c r="K266" i="2"/>
  <c r="K320" i="2"/>
  <c r="N72" i="3"/>
  <c r="K125" i="3"/>
  <c r="K155" i="3"/>
  <c r="N173" i="3"/>
  <c r="L216" i="3"/>
  <c r="J409" i="3"/>
  <c r="K453" i="3"/>
  <c r="J525" i="1"/>
  <c r="I20" i="4"/>
  <c r="I9" i="4" s="1"/>
  <c r="K9" i="4" s="1"/>
  <c r="I52" i="4"/>
  <c r="K52" i="4" s="1"/>
  <c r="N104" i="4"/>
  <c r="N117" i="4"/>
  <c r="K140" i="4"/>
  <c r="N172" i="4"/>
  <c r="I275" i="4"/>
  <c r="K275" i="4" s="1"/>
  <c r="K521" i="4"/>
  <c r="K48" i="5"/>
  <c r="N188" i="5"/>
  <c r="K209" i="5"/>
  <c r="N248" i="5"/>
  <c r="K264" i="5"/>
  <c r="K155" i="6"/>
  <c r="L216" i="6"/>
  <c r="I457" i="6"/>
  <c r="K457" i="6" s="1"/>
  <c r="K466" i="6"/>
  <c r="K126" i="7"/>
  <c r="I270" i="7"/>
  <c r="K270" i="7" s="1"/>
  <c r="K271" i="7"/>
  <c r="K323" i="8"/>
  <c r="J321" i="8"/>
  <c r="K321" i="8" s="1"/>
  <c r="L14" i="1"/>
  <c r="N14" i="1" s="1"/>
  <c r="I26" i="1"/>
  <c r="K26" i="1" s="1"/>
  <c r="L132" i="1"/>
  <c r="N132" i="1" s="1"/>
  <c r="L172" i="1"/>
  <c r="N172" i="1" s="1"/>
  <c r="L231" i="1"/>
  <c r="N231" i="1" s="1"/>
  <c r="J238" i="1"/>
  <c r="L249" i="1"/>
  <c r="N249" i="1" s="1"/>
  <c r="I315" i="1"/>
  <c r="K315" i="1" s="1"/>
  <c r="I318" i="1"/>
  <c r="K318" i="1" s="1"/>
  <c r="I326" i="1"/>
  <c r="K326" i="1" s="1"/>
  <c r="I361" i="1"/>
  <c r="K361" i="1" s="1"/>
  <c r="I409" i="1"/>
  <c r="K409" i="1" s="1"/>
  <c r="J417" i="1"/>
  <c r="I453" i="1"/>
  <c r="K453" i="1" s="1"/>
  <c r="I466" i="1"/>
  <c r="K466" i="1" s="1"/>
  <c r="L9" i="2"/>
  <c r="N9" i="2" s="1"/>
  <c r="N37" i="2"/>
  <c r="L103" i="2"/>
  <c r="N104" i="2"/>
  <c r="K224" i="2"/>
  <c r="K235" i="2"/>
  <c r="I245" i="2"/>
  <c r="K245" i="2" s="1"/>
  <c r="I267" i="2"/>
  <c r="K267" i="2" s="1"/>
  <c r="I276" i="2"/>
  <c r="K276" i="2" s="1"/>
  <c r="J316" i="2"/>
  <c r="K316" i="2" s="1"/>
  <c r="K345" i="2"/>
  <c r="K347" i="2"/>
  <c r="K390" i="2"/>
  <c r="I444" i="2"/>
  <c r="K444" i="2" s="1"/>
  <c r="N476" i="2"/>
  <c r="N35" i="3"/>
  <c r="K46" i="3"/>
  <c r="K48" i="3"/>
  <c r="L76" i="3"/>
  <c r="N76" i="3" s="1"/>
  <c r="N117" i="3"/>
  <c r="N132" i="3"/>
  <c r="L146" i="3"/>
  <c r="N188" i="3"/>
  <c r="K195" i="3"/>
  <c r="L247" i="3"/>
  <c r="L244" i="3" s="1"/>
  <c r="K263" i="3"/>
  <c r="I325" i="3"/>
  <c r="L459" i="3"/>
  <c r="N459" i="3" s="1"/>
  <c r="N476" i="3"/>
  <c r="K514" i="3"/>
  <c r="K518" i="3"/>
  <c r="K522" i="3"/>
  <c r="L54" i="4"/>
  <c r="I63" i="4"/>
  <c r="K63" i="4" s="1"/>
  <c r="J234" i="1"/>
  <c r="L278" i="4"/>
  <c r="L275" i="4" s="1"/>
  <c r="N275" i="4" s="1"/>
  <c r="K322" i="4"/>
  <c r="I344" i="4"/>
  <c r="N353" i="4"/>
  <c r="K361" i="4"/>
  <c r="K410" i="4"/>
  <c r="N429" i="4"/>
  <c r="K453" i="4"/>
  <c r="N493" i="4"/>
  <c r="I52" i="5"/>
  <c r="K52" i="5" s="1"/>
  <c r="K62" i="5"/>
  <c r="I74" i="5"/>
  <c r="K74" i="5" s="1"/>
  <c r="I89" i="5"/>
  <c r="K89" i="5" s="1"/>
  <c r="N117" i="5"/>
  <c r="N132" i="5"/>
  <c r="N172" i="5"/>
  <c r="N231" i="5"/>
  <c r="I325" i="5"/>
  <c r="K456" i="5"/>
  <c r="J321" i="6"/>
  <c r="K321" i="6" s="1"/>
  <c r="K345" i="6"/>
  <c r="I350" i="6"/>
  <c r="K350" i="6" s="1"/>
  <c r="K507" i="6"/>
  <c r="K511" i="6"/>
  <c r="K506" i="6"/>
  <c r="N12" i="7"/>
  <c r="L9" i="7"/>
  <c r="N9" i="7" s="1"/>
  <c r="I20" i="7"/>
  <c r="K20" i="7" s="1"/>
  <c r="N92" i="7"/>
  <c r="I101" i="7"/>
  <c r="K101" i="7" s="1"/>
  <c r="L131" i="7"/>
  <c r="N132" i="7"/>
  <c r="N172" i="7"/>
  <c r="K292" i="7"/>
  <c r="L247" i="8"/>
  <c r="N248" i="8"/>
  <c r="K266" i="8"/>
  <c r="I262" i="8"/>
  <c r="K262" i="8" s="1"/>
  <c r="I276" i="8"/>
  <c r="K276" i="8" s="1"/>
  <c r="K291" i="8"/>
  <c r="I368" i="8"/>
  <c r="K368" i="8" s="1"/>
  <c r="K523" i="8"/>
  <c r="K23" i="9"/>
  <c r="K125" i="9"/>
  <c r="L216" i="9"/>
  <c r="K238" i="9"/>
  <c r="I63" i="10"/>
  <c r="K63" i="10" s="1"/>
  <c r="K62" i="10"/>
  <c r="I52" i="10"/>
  <c r="K52" i="10" s="1"/>
  <c r="K83" i="10"/>
  <c r="I74" i="10"/>
  <c r="K74" i="10" s="1"/>
  <c r="I377" i="10"/>
  <c r="K377" i="10" s="1"/>
  <c r="I369" i="10"/>
  <c r="K369" i="10" s="1"/>
  <c r="K361" i="10"/>
  <c r="K209" i="11"/>
  <c r="I199" i="11"/>
  <c r="K199" i="11" s="1"/>
  <c r="K314" i="11"/>
  <c r="J312" i="11"/>
  <c r="K312" i="11" s="1"/>
  <c r="I199" i="13"/>
  <c r="K199" i="13" s="1"/>
  <c r="K209" i="13"/>
  <c r="I350" i="13"/>
  <c r="K350" i="13" s="1"/>
  <c r="I376" i="13"/>
  <c r="K376" i="13" s="1"/>
  <c r="I360" i="13"/>
  <c r="K360" i="13" s="1"/>
  <c r="I368" i="13"/>
  <c r="K368" i="13" s="1"/>
  <c r="L54" i="14"/>
  <c r="N55" i="14"/>
  <c r="N77" i="14"/>
  <c r="L76" i="14"/>
  <c r="L352" i="14"/>
  <c r="N353" i="14"/>
  <c r="J473" i="1"/>
  <c r="K126" i="6"/>
  <c r="I68" i="6"/>
  <c r="K68" i="6" s="1"/>
  <c r="L475" i="6"/>
  <c r="N476" i="6"/>
  <c r="L428" i="7"/>
  <c r="N428" i="7" s="1"/>
  <c r="N429" i="7"/>
  <c r="K455" i="9"/>
  <c r="I444" i="9"/>
  <c r="K444" i="9" s="1"/>
  <c r="K518" i="9"/>
  <c r="K514" i="9"/>
  <c r="K506" i="10"/>
  <c r="K512" i="10"/>
  <c r="K509" i="10"/>
  <c r="K505" i="10"/>
  <c r="K508" i="10"/>
  <c r="I490" i="10"/>
  <c r="K511" i="10"/>
  <c r="K507" i="10"/>
  <c r="L187" i="11"/>
  <c r="N187" i="11" s="1"/>
  <c r="N188" i="11"/>
  <c r="I214" i="13"/>
  <c r="K214" i="13" s="1"/>
  <c r="K224" i="13"/>
  <c r="I22" i="1"/>
  <c r="K22" i="1" s="1"/>
  <c r="I110" i="1"/>
  <c r="K110" i="1" s="1"/>
  <c r="I211" i="1"/>
  <c r="K211" i="1" s="1"/>
  <c r="N117" i="2"/>
  <c r="K126" i="2"/>
  <c r="K240" i="2"/>
  <c r="I369" i="2"/>
  <c r="K369" i="2" s="1"/>
  <c r="I267" i="3"/>
  <c r="K267" i="3" s="1"/>
  <c r="K62" i="4"/>
  <c r="N114" i="5"/>
  <c r="K195" i="5"/>
  <c r="I377" i="5"/>
  <c r="K377" i="5" s="1"/>
  <c r="I369" i="5"/>
  <c r="K369" i="5" s="1"/>
  <c r="K361" i="5"/>
  <c r="L187" i="6"/>
  <c r="N187" i="6" s="1"/>
  <c r="N188" i="6"/>
  <c r="L216" i="7"/>
  <c r="K323" i="7"/>
  <c r="J321" i="7"/>
  <c r="K321" i="7" s="1"/>
  <c r="L9" i="8"/>
  <c r="N9" i="8" s="1"/>
  <c r="L76" i="8"/>
  <c r="L74" i="8" s="1"/>
  <c r="N77" i="8"/>
  <c r="L12" i="1"/>
  <c r="I125" i="1"/>
  <c r="K125" i="1" s="1"/>
  <c r="L188" i="1"/>
  <c r="N188" i="1" s="1"/>
  <c r="I195" i="1"/>
  <c r="K195" i="1" s="1"/>
  <c r="L280" i="1"/>
  <c r="N280" i="1" s="1"/>
  <c r="L300" i="1"/>
  <c r="N300" i="1" s="1"/>
  <c r="I323" i="1"/>
  <c r="K323" i="1" s="1"/>
  <c r="I482" i="1"/>
  <c r="I486" i="1"/>
  <c r="N35" i="2"/>
  <c r="I182" i="1"/>
  <c r="K182" i="1" s="1"/>
  <c r="I311" i="2"/>
  <c r="I344" i="2"/>
  <c r="I473" i="2"/>
  <c r="K473" i="2" s="1"/>
  <c r="I52" i="3"/>
  <c r="K52" i="3" s="1"/>
  <c r="K235" i="3"/>
  <c r="K240" i="3"/>
  <c r="N248" i="3"/>
  <c r="I276" i="3"/>
  <c r="K276" i="3" s="1"/>
  <c r="J316" i="3"/>
  <c r="K316" i="3" s="1"/>
  <c r="J325" i="3"/>
  <c r="I377" i="3"/>
  <c r="K377" i="3" s="1"/>
  <c r="N460" i="3"/>
  <c r="K513" i="3"/>
  <c r="N56" i="4"/>
  <c r="I101" i="4"/>
  <c r="K101" i="4" s="1"/>
  <c r="L131" i="4"/>
  <c r="N279" i="4"/>
  <c r="J409" i="4"/>
  <c r="K527" i="4"/>
  <c r="K32" i="5"/>
  <c r="L148" i="1"/>
  <c r="N148" i="1" s="1"/>
  <c r="I270" i="5"/>
  <c r="I244" i="5" s="1"/>
  <c r="K244" i="5" s="1"/>
  <c r="I316" i="1"/>
  <c r="N333" i="5"/>
  <c r="N248" i="6"/>
  <c r="I369" i="6"/>
  <c r="K369" i="6" s="1"/>
  <c r="I377" i="6"/>
  <c r="K377" i="6" s="1"/>
  <c r="K361" i="6"/>
  <c r="L54" i="7"/>
  <c r="N56" i="7"/>
  <c r="N117" i="7"/>
  <c r="L116" i="7"/>
  <c r="I426" i="7"/>
  <c r="K426" i="7" s="1"/>
  <c r="K440" i="7"/>
  <c r="I267" i="8"/>
  <c r="K267" i="8" s="1"/>
  <c r="K314" i="8"/>
  <c r="J312" i="8"/>
  <c r="K312" i="8" s="1"/>
  <c r="I325" i="8"/>
  <c r="I185" i="9"/>
  <c r="K185" i="9" s="1"/>
  <c r="K195" i="9"/>
  <c r="I297" i="9"/>
  <c r="L352" i="9"/>
  <c r="N353" i="9"/>
  <c r="I457" i="9"/>
  <c r="K457" i="9" s="1"/>
  <c r="K466" i="9"/>
  <c r="K511" i="9"/>
  <c r="K504" i="9"/>
  <c r="K48" i="10"/>
  <c r="I33" i="10"/>
  <c r="K33" i="10" s="1"/>
  <c r="N116" i="10"/>
  <c r="L114" i="10"/>
  <c r="N114" i="10" s="1"/>
  <c r="I296" i="10"/>
  <c r="K296" i="10" s="1"/>
  <c r="K313" i="10"/>
  <c r="K292" i="11"/>
  <c r="I275" i="11"/>
  <c r="K275" i="11" s="1"/>
  <c r="K98" i="12"/>
  <c r="I89" i="12"/>
  <c r="K89" i="12" s="1"/>
  <c r="J409" i="12"/>
  <c r="K23" i="13"/>
  <c r="I21" i="13"/>
  <c r="N353" i="13"/>
  <c r="L352" i="13"/>
  <c r="L350" i="13" s="1"/>
  <c r="N350" i="13" s="1"/>
  <c r="K466" i="13"/>
  <c r="I457" i="13"/>
  <c r="K457" i="13" s="1"/>
  <c r="J489" i="1"/>
  <c r="I33" i="14"/>
  <c r="K33" i="14" s="1"/>
  <c r="K48" i="14"/>
  <c r="I228" i="15"/>
  <c r="K228" i="15" s="1"/>
  <c r="K236" i="15"/>
  <c r="K266" i="15"/>
  <c r="I262" i="15"/>
  <c r="K262" i="15" s="1"/>
  <c r="J414" i="1"/>
  <c r="J416" i="1"/>
  <c r="I267" i="6"/>
  <c r="K267" i="6" s="1"/>
  <c r="K238" i="7"/>
  <c r="J316" i="7"/>
  <c r="K316" i="7" s="1"/>
  <c r="K522" i="7"/>
  <c r="K390" i="8"/>
  <c r="L459" i="8"/>
  <c r="L457" i="8" s="1"/>
  <c r="N457" i="8" s="1"/>
  <c r="K509" i="8"/>
  <c r="K512" i="8"/>
  <c r="J527" i="1"/>
  <c r="K235" i="9"/>
  <c r="J316" i="9"/>
  <c r="K316" i="9" s="1"/>
  <c r="I199" i="10"/>
  <c r="K199" i="10" s="1"/>
  <c r="K209" i="10"/>
  <c r="L247" i="10"/>
  <c r="L244" i="10" s="1"/>
  <c r="N248" i="10"/>
  <c r="K125" i="11"/>
  <c r="I114" i="11"/>
  <c r="K114" i="11" s="1"/>
  <c r="K264" i="11"/>
  <c r="I262" i="11"/>
  <c r="K262" i="11" s="1"/>
  <c r="L299" i="11"/>
  <c r="N299" i="11" s="1"/>
  <c r="N300" i="11"/>
  <c r="K490" i="11"/>
  <c r="K504" i="11"/>
  <c r="N188" i="12"/>
  <c r="L187" i="12"/>
  <c r="L185" i="12" s="1"/>
  <c r="N185" i="12" s="1"/>
  <c r="I457" i="12"/>
  <c r="K457" i="12" s="1"/>
  <c r="K466" i="12"/>
  <c r="N104" i="13"/>
  <c r="L103" i="13"/>
  <c r="N103" i="13" s="1"/>
  <c r="K83" i="14"/>
  <c r="I74" i="14"/>
  <c r="K74" i="14" s="1"/>
  <c r="I149" i="14"/>
  <c r="K155" i="14"/>
  <c r="K236" i="14"/>
  <c r="I228" i="14"/>
  <c r="K228" i="14" s="1"/>
  <c r="L492" i="14"/>
  <c r="L490" i="14" s="1"/>
  <c r="N490" i="14" s="1"/>
  <c r="N493" i="14"/>
  <c r="J325" i="5"/>
  <c r="I344" i="5"/>
  <c r="I330" i="5" s="1"/>
  <c r="K330" i="5" s="1"/>
  <c r="K523" i="5"/>
  <c r="K528" i="5"/>
  <c r="I52" i="6"/>
  <c r="K52" i="6" s="1"/>
  <c r="L91" i="6"/>
  <c r="K149" i="6"/>
  <c r="K240" i="6"/>
  <c r="L103" i="7"/>
  <c r="I169" i="7"/>
  <c r="K169" i="7" s="1"/>
  <c r="K235" i="7"/>
  <c r="L278" i="7"/>
  <c r="I296" i="7"/>
  <c r="K296" i="7" s="1"/>
  <c r="L299" i="7"/>
  <c r="L296" i="7" s="1"/>
  <c r="N296" i="7" s="1"/>
  <c r="K319" i="7"/>
  <c r="K523" i="7"/>
  <c r="K525" i="7"/>
  <c r="K528" i="7"/>
  <c r="I101" i="8"/>
  <c r="K101" i="8" s="1"/>
  <c r="K238" i="8"/>
  <c r="N460" i="8"/>
  <c r="K505" i="8"/>
  <c r="J524" i="1"/>
  <c r="K528" i="8"/>
  <c r="K22" i="9"/>
  <c r="I276" i="9"/>
  <c r="K276" i="9" s="1"/>
  <c r="K319" i="9"/>
  <c r="J321" i="9"/>
  <c r="K321" i="9" s="1"/>
  <c r="K526" i="9"/>
  <c r="N172" i="10"/>
  <c r="I185" i="10"/>
  <c r="K185" i="10" s="1"/>
  <c r="K195" i="10"/>
  <c r="N231" i="10"/>
  <c r="L230" i="10"/>
  <c r="I276" i="10"/>
  <c r="K276" i="10" s="1"/>
  <c r="N279" i="10"/>
  <c r="K519" i="10"/>
  <c r="K516" i="10"/>
  <c r="K515" i="10"/>
  <c r="K513" i="10"/>
  <c r="K518" i="10"/>
  <c r="K514" i="10"/>
  <c r="K98" i="11"/>
  <c r="K514" i="11"/>
  <c r="K519" i="11"/>
  <c r="K516" i="11"/>
  <c r="K513" i="11"/>
  <c r="K518" i="11"/>
  <c r="K515" i="11"/>
  <c r="I21" i="12"/>
  <c r="K25" i="12"/>
  <c r="K180" i="12"/>
  <c r="I169" i="12"/>
  <c r="K169" i="12" s="1"/>
  <c r="N231" i="12"/>
  <c r="I297" i="12"/>
  <c r="K522" i="12"/>
  <c r="K524" i="12"/>
  <c r="K528" i="12"/>
  <c r="L116" i="13"/>
  <c r="N116" i="13" s="1"/>
  <c r="N117" i="13"/>
  <c r="L446" i="13"/>
  <c r="N446" i="13" s="1"/>
  <c r="N447" i="13"/>
  <c r="N218" i="14"/>
  <c r="L216" i="14"/>
  <c r="K292" i="14"/>
  <c r="I275" i="14"/>
  <c r="K275" i="14" s="1"/>
  <c r="K83" i="15"/>
  <c r="I74" i="15"/>
  <c r="K74" i="15" s="1"/>
  <c r="I32" i="10"/>
  <c r="K32" i="10" s="1"/>
  <c r="I368" i="11"/>
  <c r="K368" i="11" s="1"/>
  <c r="K125" i="12"/>
  <c r="I114" i="12"/>
  <c r="K114" i="12" s="1"/>
  <c r="N218" i="12"/>
  <c r="L216" i="12"/>
  <c r="I63" i="13"/>
  <c r="K63" i="13" s="1"/>
  <c r="K62" i="13"/>
  <c r="I275" i="13"/>
  <c r="K275" i="13" s="1"/>
  <c r="K317" i="13"/>
  <c r="I296" i="13"/>
  <c r="K296" i="13" s="1"/>
  <c r="N92" i="15"/>
  <c r="L91" i="15"/>
  <c r="L89" i="15" s="1"/>
  <c r="N89" i="15" s="1"/>
  <c r="I149" i="15"/>
  <c r="K149" i="15" s="1"/>
  <c r="K155" i="15"/>
  <c r="K98" i="10"/>
  <c r="I89" i="10"/>
  <c r="K89" i="10" s="1"/>
  <c r="I376" i="11"/>
  <c r="K376" i="11" s="1"/>
  <c r="K522" i="11"/>
  <c r="K524" i="11"/>
  <c r="K526" i="11"/>
  <c r="K264" i="12"/>
  <c r="I262" i="12"/>
  <c r="K262" i="12" s="1"/>
  <c r="K323" i="12"/>
  <c r="J321" i="12"/>
  <c r="K321" i="12" s="1"/>
  <c r="I376" i="12"/>
  <c r="K376" i="12" s="1"/>
  <c r="K359" i="12"/>
  <c r="I368" i="12"/>
  <c r="K368" i="12" s="1"/>
  <c r="K482" i="12"/>
  <c r="I33" i="13"/>
  <c r="K33" i="13" s="1"/>
  <c r="K48" i="13"/>
  <c r="N188" i="13"/>
  <c r="I377" i="13"/>
  <c r="K377" i="13" s="1"/>
  <c r="K361" i="13"/>
  <c r="K26" i="14"/>
  <c r="I20" i="14"/>
  <c r="N148" i="14"/>
  <c r="L146" i="14"/>
  <c r="L144" i="14" s="1"/>
  <c r="N144" i="14" s="1"/>
  <c r="K326" i="14"/>
  <c r="I325" i="14"/>
  <c r="J325" i="14"/>
  <c r="K48" i="15"/>
  <c r="I33" i="15"/>
  <c r="K33" i="15" s="1"/>
  <c r="N117" i="15"/>
  <c r="K323" i="15"/>
  <c r="J321" i="15"/>
  <c r="K321" i="15" s="1"/>
  <c r="L332" i="15"/>
  <c r="N333" i="15"/>
  <c r="L492" i="13"/>
  <c r="L490" i="13" s="1"/>
  <c r="N490" i="13" s="1"/>
  <c r="K98" i="14"/>
  <c r="I89" i="14"/>
  <c r="K89" i="14" s="1"/>
  <c r="N231" i="15"/>
  <c r="L230" i="15"/>
  <c r="L299" i="15"/>
  <c r="L296" i="15" s="1"/>
  <c r="I270" i="10"/>
  <c r="I244" i="10" s="1"/>
  <c r="K244" i="10" s="1"/>
  <c r="J325" i="10"/>
  <c r="K522" i="10"/>
  <c r="K527" i="10"/>
  <c r="K523" i="12"/>
  <c r="K527" i="12"/>
  <c r="I276" i="13"/>
  <c r="K276" i="13" s="1"/>
  <c r="N493" i="13"/>
  <c r="K138" i="14"/>
  <c r="I214" i="14"/>
  <c r="K214" i="14" s="1"/>
  <c r="K235" i="14"/>
  <c r="K528" i="14"/>
  <c r="I20" i="15"/>
  <c r="K20" i="15" s="1"/>
  <c r="I63" i="15"/>
  <c r="K63" i="15" s="1"/>
  <c r="K111" i="15"/>
  <c r="I101" i="15"/>
  <c r="K101" i="15" s="1"/>
  <c r="I267" i="15"/>
  <c r="K267" i="15" s="1"/>
  <c r="I265" i="15"/>
  <c r="K265" i="15" s="1"/>
  <c r="N300" i="15"/>
  <c r="J410" i="15"/>
  <c r="N429" i="15"/>
  <c r="K440" i="15"/>
  <c r="K523" i="15"/>
  <c r="K392" i="14"/>
  <c r="K527" i="14"/>
  <c r="J316" i="15"/>
  <c r="M426" i="3"/>
  <c r="M6" i="2"/>
  <c r="K169" i="2"/>
  <c r="J350" i="2"/>
  <c r="J350" i="1" s="1"/>
  <c r="J359" i="1"/>
  <c r="K418" i="2"/>
  <c r="N131" i="2"/>
  <c r="L129" i="2"/>
  <c r="J144" i="1"/>
  <c r="M350" i="1"/>
  <c r="K228" i="4"/>
  <c r="M296" i="2"/>
  <c r="K291" i="4"/>
  <c r="I276" i="4"/>
  <c r="K440" i="4"/>
  <c r="I426" i="4"/>
  <c r="K426" i="4" s="1"/>
  <c r="L73" i="5"/>
  <c r="L76" i="5"/>
  <c r="I418" i="5"/>
  <c r="K418" i="5" s="1"/>
  <c r="L475" i="5"/>
  <c r="I214" i="6"/>
  <c r="K214" i="6" s="1"/>
  <c r="N460" i="7"/>
  <c r="L459" i="7"/>
  <c r="K44" i="8"/>
  <c r="I32" i="8"/>
  <c r="K32" i="8" s="1"/>
  <c r="N430" i="12"/>
  <c r="M428" i="12"/>
  <c r="M426" i="12" s="1"/>
  <c r="I124" i="1"/>
  <c r="K124" i="1" s="1"/>
  <c r="I235" i="1"/>
  <c r="J240" i="1"/>
  <c r="I272" i="1"/>
  <c r="K272" i="1" s="1"/>
  <c r="M280" i="1"/>
  <c r="M301" i="1"/>
  <c r="I321" i="1"/>
  <c r="I392" i="1"/>
  <c r="K392" i="1" s="1"/>
  <c r="J412" i="1"/>
  <c r="I440" i="1"/>
  <c r="K440" i="1" s="1"/>
  <c r="J504" i="1"/>
  <c r="K22" i="2"/>
  <c r="I20" i="2"/>
  <c r="K98" i="2"/>
  <c r="I89" i="2"/>
  <c r="N132" i="2"/>
  <c r="M169" i="2"/>
  <c r="M169" i="1" s="1"/>
  <c r="N173" i="2"/>
  <c r="K180" i="2"/>
  <c r="K182" i="2"/>
  <c r="K209" i="2"/>
  <c r="K228" i="2"/>
  <c r="N280" i="2"/>
  <c r="N301" i="2"/>
  <c r="K313" i="2"/>
  <c r="I296" i="2"/>
  <c r="I376" i="2"/>
  <c r="I368" i="2"/>
  <c r="I360" i="2"/>
  <c r="K359" i="2"/>
  <c r="I377" i="2"/>
  <c r="M448" i="1"/>
  <c r="M459" i="2"/>
  <c r="M461" i="1"/>
  <c r="N461" i="2"/>
  <c r="K504" i="2"/>
  <c r="K519" i="2"/>
  <c r="K516" i="2"/>
  <c r="K515" i="2"/>
  <c r="K513" i="2"/>
  <c r="I513" i="1"/>
  <c r="K514" i="2"/>
  <c r="M101" i="3"/>
  <c r="M101" i="1" s="1"/>
  <c r="N114" i="3"/>
  <c r="L129" i="3"/>
  <c r="N129" i="3" s="1"/>
  <c r="K209" i="3"/>
  <c r="L201" i="4"/>
  <c r="N231" i="4"/>
  <c r="L230" i="4"/>
  <c r="N249" i="4"/>
  <c r="J316" i="4"/>
  <c r="K319" i="4"/>
  <c r="I457" i="4"/>
  <c r="K457" i="4" s="1"/>
  <c r="K466" i="4"/>
  <c r="I21" i="5"/>
  <c r="K23" i="5"/>
  <c r="N77" i="5"/>
  <c r="L129" i="5"/>
  <c r="N129" i="5" s="1"/>
  <c r="L201" i="5"/>
  <c r="I267" i="5"/>
  <c r="I265" i="5"/>
  <c r="K265" i="5" s="1"/>
  <c r="I245" i="5"/>
  <c r="K245" i="5" s="1"/>
  <c r="K263" i="5"/>
  <c r="K271" i="5"/>
  <c r="I275" i="5"/>
  <c r="K275" i="5" s="1"/>
  <c r="K292" i="5"/>
  <c r="I297" i="5"/>
  <c r="N300" i="5"/>
  <c r="L299" i="5"/>
  <c r="J316" i="5"/>
  <c r="K316" i="5" s="1"/>
  <c r="K319" i="5"/>
  <c r="N430" i="5"/>
  <c r="L428" i="5"/>
  <c r="N203" i="6"/>
  <c r="L201" i="6"/>
  <c r="K315" i="7"/>
  <c r="J312" i="7"/>
  <c r="I21" i="8"/>
  <c r="K23" i="8"/>
  <c r="M74" i="8"/>
  <c r="N92" i="8"/>
  <c r="L91" i="8"/>
  <c r="L73" i="8"/>
  <c r="N73" i="8" s="1"/>
  <c r="K466" i="8"/>
  <c r="I457" i="8"/>
  <c r="K457" i="8" s="1"/>
  <c r="K524" i="8"/>
  <c r="K526" i="8"/>
  <c r="I526" i="1"/>
  <c r="K263" i="9"/>
  <c r="I267" i="9"/>
  <c r="K267" i="9" s="1"/>
  <c r="I265" i="9"/>
  <c r="K265" i="9" s="1"/>
  <c r="M278" i="9"/>
  <c r="M275" i="9" s="1"/>
  <c r="N280" i="9"/>
  <c r="K314" i="9"/>
  <c r="J312" i="9"/>
  <c r="I267" i="10"/>
  <c r="K267" i="10" s="1"/>
  <c r="I265" i="10"/>
  <c r="K265" i="10" s="1"/>
  <c r="I245" i="10"/>
  <c r="K245" i="10" s="1"/>
  <c r="K263" i="10"/>
  <c r="M278" i="10"/>
  <c r="N280" i="10"/>
  <c r="N493" i="10"/>
  <c r="L492" i="10"/>
  <c r="J490" i="10"/>
  <c r="K504" i="10"/>
  <c r="K392" i="12"/>
  <c r="K324" i="14"/>
  <c r="J321" i="14"/>
  <c r="K321" i="14" s="1"/>
  <c r="I270" i="2"/>
  <c r="I21" i="3"/>
  <c r="K23" i="3"/>
  <c r="L54" i="3"/>
  <c r="K83" i="3"/>
  <c r="I74" i="3"/>
  <c r="K74" i="3" s="1"/>
  <c r="I311" i="3"/>
  <c r="L32" i="4"/>
  <c r="N35" i="4"/>
  <c r="M459" i="4"/>
  <c r="N461" i="4"/>
  <c r="L54" i="5"/>
  <c r="N188" i="7"/>
  <c r="L187" i="7"/>
  <c r="J129" i="1"/>
  <c r="J158" i="1"/>
  <c r="I180" i="1"/>
  <c r="K180" i="1" s="1"/>
  <c r="I209" i="1"/>
  <c r="K209" i="1" s="1"/>
  <c r="M9" i="1"/>
  <c r="M76" i="1"/>
  <c r="L203" i="1"/>
  <c r="N203" i="1" s="1"/>
  <c r="J235" i="1"/>
  <c r="M247" i="1"/>
  <c r="I271" i="1"/>
  <c r="K271" i="1" s="1"/>
  <c r="I312" i="1"/>
  <c r="I324" i="1"/>
  <c r="K324" i="1" s="1"/>
  <c r="M352" i="1"/>
  <c r="I359" i="1"/>
  <c r="K359" i="1" s="1"/>
  <c r="J376" i="1"/>
  <c r="I391" i="1"/>
  <c r="J394" i="1"/>
  <c r="L477" i="1"/>
  <c r="J488" i="1"/>
  <c r="L494" i="1"/>
  <c r="J510" i="1"/>
  <c r="J522" i="1"/>
  <c r="I527" i="1"/>
  <c r="I21" i="2"/>
  <c r="L89" i="2"/>
  <c r="K199" i="2"/>
  <c r="I265" i="2"/>
  <c r="N300" i="2"/>
  <c r="I350" i="2"/>
  <c r="J392" i="2"/>
  <c r="J392" i="1" s="1"/>
  <c r="M446" i="2"/>
  <c r="I488" i="1"/>
  <c r="K488" i="2"/>
  <c r="M492" i="1"/>
  <c r="J513" i="2"/>
  <c r="J513" i="1" s="1"/>
  <c r="J521" i="1"/>
  <c r="K111" i="3"/>
  <c r="I101" i="3"/>
  <c r="K101" i="3" s="1"/>
  <c r="I270" i="3"/>
  <c r="K271" i="3"/>
  <c r="M299" i="3"/>
  <c r="M296" i="3" s="1"/>
  <c r="M242" i="3" s="1"/>
  <c r="N301" i="3"/>
  <c r="K391" i="3"/>
  <c r="I473" i="3"/>
  <c r="K473" i="3" s="1"/>
  <c r="K512" i="3"/>
  <c r="K509" i="3"/>
  <c r="K505" i="3"/>
  <c r="K504" i="3"/>
  <c r="K508" i="3"/>
  <c r="K521" i="3"/>
  <c r="N72" i="4"/>
  <c r="I89" i="4"/>
  <c r="K89" i="4" s="1"/>
  <c r="L114" i="4"/>
  <c r="L247" i="4"/>
  <c r="N248" i="4"/>
  <c r="K314" i="4"/>
  <c r="J312" i="4"/>
  <c r="K312" i="4" s="1"/>
  <c r="J325" i="4"/>
  <c r="K326" i="4"/>
  <c r="I325" i="4"/>
  <c r="K346" i="4"/>
  <c r="K524" i="4"/>
  <c r="M6" i="5"/>
  <c r="L32" i="5"/>
  <c r="N32" i="5" s="1"/>
  <c r="N35" i="5"/>
  <c r="K26" i="6"/>
  <c r="I20" i="6"/>
  <c r="K291" i="6"/>
  <c r="I276" i="6"/>
  <c r="K276" i="6" s="1"/>
  <c r="M459" i="6"/>
  <c r="N461" i="6"/>
  <c r="N76" i="7"/>
  <c r="L74" i="7"/>
  <c r="N74" i="7" s="1"/>
  <c r="N91" i="7"/>
  <c r="L89" i="7"/>
  <c r="N89" i="7" s="1"/>
  <c r="K98" i="7"/>
  <c r="I89" i="7"/>
  <c r="K89" i="7" s="1"/>
  <c r="K291" i="7"/>
  <c r="I276" i="7"/>
  <c r="K276" i="7" s="1"/>
  <c r="I270" i="8"/>
  <c r="K272" i="8"/>
  <c r="L299" i="8"/>
  <c r="K48" i="9"/>
  <c r="I33" i="9"/>
  <c r="K33" i="9" s="1"/>
  <c r="L171" i="9"/>
  <c r="N173" i="9"/>
  <c r="L299" i="9"/>
  <c r="N300" i="9"/>
  <c r="N203" i="10"/>
  <c r="L201" i="10"/>
  <c r="K326" i="11"/>
  <c r="I325" i="11"/>
  <c r="J325" i="11"/>
  <c r="J312" i="13"/>
  <c r="K312" i="13" s="1"/>
  <c r="K315" i="13"/>
  <c r="K326" i="13"/>
  <c r="I325" i="13"/>
  <c r="J325" i="13"/>
  <c r="K511" i="13"/>
  <c r="K508" i="13"/>
  <c r="K504" i="13"/>
  <c r="K509" i="13"/>
  <c r="K505" i="13"/>
  <c r="K512" i="13"/>
  <c r="K506" i="13"/>
  <c r="I490" i="13"/>
  <c r="K490" i="13" s="1"/>
  <c r="K507" i="13"/>
  <c r="N92" i="14"/>
  <c r="L91" i="14"/>
  <c r="L73" i="14"/>
  <c r="N73" i="14" s="1"/>
  <c r="K111" i="14"/>
  <c r="I101" i="14"/>
  <c r="K101" i="14" s="1"/>
  <c r="J321" i="2"/>
  <c r="K321" i="2" s="1"/>
  <c r="I344" i="3"/>
  <c r="N188" i="4"/>
  <c r="L187" i="4"/>
  <c r="I297" i="4"/>
  <c r="K519" i="4"/>
  <c r="K516" i="4"/>
  <c r="K515" i="4"/>
  <c r="K513" i="4"/>
  <c r="K518" i="4"/>
  <c r="N148" i="5"/>
  <c r="L146" i="5"/>
  <c r="K180" i="5"/>
  <c r="I169" i="5"/>
  <c r="K169" i="5" s="1"/>
  <c r="K291" i="5"/>
  <c r="I276" i="5"/>
  <c r="K276" i="5" s="1"/>
  <c r="N354" i="5"/>
  <c r="L352" i="5"/>
  <c r="L73" i="6"/>
  <c r="N73" i="6" s="1"/>
  <c r="L76" i="6"/>
  <c r="K314" i="6"/>
  <c r="J312" i="6"/>
  <c r="L278" i="8"/>
  <c r="K318" i="8"/>
  <c r="J316" i="8"/>
  <c r="K504" i="8"/>
  <c r="J490" i="8"/>
  <c r="N354" i="10"/>
  <c r="L352" i="10"/>
  <c r="K44" i="12"/>
  <c r="I32" i="12"/>
  <c r="K32" i="12" s="1"/>
  <c r="M12" i="1"/>
  <c r="J21" i="1"/>
  <c r="L35" i="1"/>
  <c r="N35" i="1" s="1"/>
  <c r="I44" i="1"/>
  <c r="K44" i="1" s="1"/>
  <c r="L56" i="1"/>
  <c r="N56" i="1" s="1"/>
  <c r="J68" i="1"/>
  <c r="I83" i="1"/>
  <c r="K83" i="1" s="1"/>
  <c r="L173" i="1"/>
  <c r="N173" i="1" s="1"/>
  <c r="I224" i="1"/>
  <c r="K224" i="1" s="1"/>
  <c r="I291" i="1"/>
  <c r="K291" i="1" s="1"/>
  <c r="L334" i="1"/>
  <c r="N334" i="1" s="1"/>
  <c r="J344" i="1"/>
  <c r="L354" i="1"/>
  <c r="N354" i="1" s="1"/>
  <c r="M430" i="1"/>
  <c r="L448" i="1"/>
  <c r="N448" i="1" s="1"/>
  <c r="I454" i="1"/>
  <c r="M494" i="1"/>
  <c r="K83" i="2"/>
  <c r="I74" i="2"/>
  <c r="K114" i="2"/>
  <c r="K236" i="2"/>
  <c r="J325" i="2"/>
  <c r="K326" i="2"/>
  <c r="L332" i="2"/>
  <c r="J517" i="1"/>
  <c r="K523" i="2"/>
  <c r="I523" i="1"/>
  <c r="K525" i="2"/>
  <c r="I525" i="1"/>
  <c r="K22" i="3"/>
  <c r="I20" i="3"/>
  <c r="I144" i="3"/>
  <c r="K144" i="3" s="1"/>
  <c r="K149" i="3"/>
  <c r="I297" i="3"/>
  <c r="K314" i="3"/>
  <c r="J312" i="3"/>
  <c r="N354" i="3"/>
  <c r="L352" i="3"/>
  <c r="N430" i="3"/>
  <c r="L428" i="3"/>
  <c r="N447" i="3"/>
  <c r="L446" i="3"/>
  <c r="I457" i="3"/>
  <c r="K457" i="3" s="1"/>
  <c r="K466" i="3"/>
  <c r="N12" i="4"/>
  <c r="L9" i="4"/>
  <c r="L73" i="4"/>
  <c r="N73" i="4" s="1"/>
  <c r="L76" i="4"/>
  <c r="N77" i="4"/>
  <c r="I185" i="4"/>
  <c r="K195" i="4"/>
  <c r="K240" i="4"/>
  <c r="J245" i="4"/>
  <c r="J259" i="4"/>
  <c r="I311" i="4"/>
  <c r="K323" i="4"/>
  <c r="J321" i="4"/>
  <c r="K321" i="4" s="1"/>
  <c r="K512" i="4"/>
  <c r="K509" i="4"/>
  <c r="K505" i="4"/>
  <c r="K506" i="4"/>
  <c r="I490" i="4"/>
  <c r="K490" i="4" s="1"/>
  <c r="K511" i="4"/>
  <c r="K507" i="4"/>
  <c r="K504" i="4"/>
  <c r="J228" i="5"/>
  <c r="K240" i="5"/>
  <c r="I296" i="5"/>
  <c r="K296" i="5" s="1"/>
  <c r="J410" i="5"/>
  <c r="N447" i="5"/>
  <c r="L446" i="5"/>
  <c r="J325" i="6"/>
  <c r="K326" i="6"/>
  <c r="I325" i="6"/>
  <c r="M6" i="8"/>
  <c r="K83" i="8"/>
  <c r="I74" i="8"/>
  <c r="K74" i="8" s="1"/>
  <c r="N353" i="8"/>
  <c r="L352" i="8"/>
  <c r="M477" i="1"/>
  <c r="M475" i="8"/>
  <c r="M6" i="9"/>
  <c r="N35" i="9"/>
  <c r="L32" i="9"/>
  <c r="N32" i="9" s="1"/>
  <c r="K98" i="9"/>
  <c r="I89" i="9"/>
  <c r="K89" i="9" s="1"/>
  <c r="N430" i="10"/>
  <c r="L428" i="10"/>
  <c r="N72" i="11"/>
  <c r="N279" i="13"/>
  <c r="L278" i="13"/>
  <c r="N300" i="13"/>
  <c r="L299" i="13"/>
  <c r="N476" i="13"/>
  <c r="L475" i="13"/>
  <c r="L9" i="14"/>
  <c r="N12" i="14"/>
  <c r="L73" i="2"/>
  <c r="N354" i="2"/>
  <c r="N430" i="2"/>
  <c r="L460" i="1"/>
  <c r="N460" i="1" s="1"/>
  <c r="L476" i="1"/>
  <c r="N476" i="1" s="1"/>
  <c r="J485" i="1"/>
  <c r="I490" i="2"/>
  <c r="K528" i="2"/>
  <c r="N12" i="3"/>
  <c r="K238" i="3"/>
  <c r="N334" i="3"/>
  <c r="I376" i="3"/>
  <c r="K376" i="3" s="1"/>
  <c r="I368" i="3"/>
  <c r="K368" i="3" s="1"/>
  <c r="I360" i="3"/>
  <c r="K360" i="3" s="1"/>
  <c r="K519" i="3"/>
  <c r="K516" i="3"/>
  <c r="N334" i="4"/>
  <c r="I369" i="4"/>
  <c r="K369" i="4" s="1"/>
  <c r="J391" i="4"/>
  <c r="J390" i="4" s="1"/>
  <c r="N447" i="4"/>
  <c r="L446" i="4"/>
  <c r="I20" i="5"/>
  <c r="K111" i="5"/>
  <c r="I101" i="5"/>
  <c r="K101" i="5" s="1"/>
  <c r="K312" i="5"/>
  <c r="I311" i="5"/>
  <c r="I376" i="5"/>
  <c r="K376" i="5" s="1"/>
  <c r="I368" i="5"/>
  <c r="K368" i="5" s="1"/>
  <c r="I360" i="5"/>
  <c r="K360" i="5" s="1"/>
  <c r="I457" i="5"/>
  <c r="K457" i="5" s="1"/>
  <c r="K466" i="5"/>
  <c r="K292" i="6"/>
  <c r="I275" i="6"/>
  <c r="K275" i="6" s="1"/>
  <c r="I311" i="6"/>
  <c r="I297" i="6"/>
  <c r="K521" i="6"/>
  <c r="I245" i="7"/>
  <c r="K263" i="7"/>
  <c r="I265" i="7"/>
  <c r="K265" i="7" s="1"/>
  <c r="N476" i="7"/>
  <c r="L475" i="7"/>
  <c r="K62" i="8"/>
  <c r="I63" i="8"/>
  <c r="K63" i="8" s="1"/>
  <c r="I52" i="8"/>
  <c r="K52" i="8" s="1"/>
  <c r="N131" i="8"/>
  <c r="N430" i="8"/>
  <c r="N493" i="8"/>
  <c r="L492" i="8"/>
  <c r="K62" i="9"/>
  <c r="I63" i="9"/>
  <c r="I52" i="9"/>
  <c r="N334" i="9"/>
  <c r="L332" i="9"/>
  <c r="L459" i="10"/>
  <c r="N460" i="10"/>
  <c r="L54" i="13"/>
  <c r="N55" i="13"/>
  <c r="N447" i="2"/>
  <c r="L446" i="2"/>
  <c r="L447" i="1"/>
  <c r="N447" i="1" s="1"/>
  <c r="I484" i="1"/>
  <c r="K512" i="2"/>
  <c r="K509" i="2"/>
  <c r="K505" i="2"/>
  <c r="I504" i="1"/>
  <c r="K509" i="1" s="1"/>
  <c r="K507" i="2"/>
  <c r="K511" i="2"/>
  <c r="K524" i="2"/>
  <c r="L73" i="3"/>
  <c r="K89" i="3"/>
  <c r="K236" i="3"/>
  <c r="I228" i="3"/>
  <c r="K392" i="3"/>
  <c r="N494" i="3"/>
  <c r="I21" i="4"/>
  <c r="K114" i="4"/>
  <c r="I376" i="4"/>
  <c r="K376" i="4" s="1"/>
  <c r="I368" i="4"/>
  <c r="K368" i="4" s="1"/>
  <c r="I360" i="4"/>
  <c r="K360" i="4" s="1"/>
  <c r="K359" i="4"/>
  <c r="I228" i="5"/>
  <c r="K236" i="5"/>
  <c r="M278" i="5"/>
  <c r="M278" i="1" s="1"/>
  <c r="N280" i="5"/>
  <c r="K323" i="5"/>
  <c r="J321" i="5"/>
  <c r="K350" i="5"/>
  <c r="M6" i="6"/>
  <c r="L32" i="6"/>
  <c r="N32" i="6" s="1"/>
  <c r="N35" i="6"/>
  <c r="K271" i="6"/>
  <c r="I270" i="6"/>
  <c r="N430" i="6"/>
  <c r="L428" i="6"/>
  <c r="N447" i="6"/>
  <c r="L446" i="6"/>
  <c r="K484" i="6"/>
  <c r="I473" i="6"/>
  <c r="K473" i="6" s="1"/>
  <c r="N494" i="6"/>
  <c r="L492" i="6"/>
  <c r="N72" i="7"/>
  <c r="K83" i="7"/>
  <c r="I74" i="7"/>
  <c r="K74" i="7" s="1"/>
  <c r="N231" i="7"/>
  <c r="L230" i="7"/>
  <c r="N248" i="7"/>
  <c r="L247" i="7"/>
  <c r="J245" i="7"/>
  <c r="J259" i="7"/>
  <c r="I376" i="7"/>
  <c r="K376" i="7" s="1"/>
  <c r="I368" i="7"/>
  <c r="K368" i="7" s="1"/>
  <c r="I360" i="7"/>
  <c r="K360" i="7" s="1"/>
  <c r="I350" i="7"/>
  <c r="K350" i="7" s="1"/>
  <c r="K359" i="7"/>
  <c r="I377" i="7"/>
  <c r="K377" i="7" s="1"/>
  <c r="K361" i="7"/>
  <c r="I369" i="7"/>
  <c r="K369" i="7" s="1"/>
  <c r="N494" i="7"/>
  <c r="L492" i="7"/>
  <c r="K519" i="7"/>
  <c r="K516" i="7"/>
  <c r="K515" i="7"/>
  <c r="K513" i="7"/>
  <c r="K518" i="7"/>
  <c r="K514" i="7"/>
  <c r="N32" i="8"/>
  <c r="N72" i="8"/>
  <c r="I214" i="8"/>
  <c r="K214" i="8" s="1"/>
  <c r="K224" i="8"/>
  <c r="K236" i="8"/>
  <c r="I228" i="8"/>
  <c r="K228" i="8" s="1"/>
  <c r="K263" i="8"/>
  <c r="J245" i="8"/>
  <c r="J259" i="8"/>
  <c r="I296" i="8"/>
  <c r="K296" i="8" s="1"/>
  <c r="K317" i="8"/>
  <c r="K453" i="8"/>
  <c r="I444" i="8"/>
  <c r="K444" i="8" s="1"/>
  <c r="N477" i="8"/>
  <c r="L475" i="8"/>
  <c r="I473" i="8"/>
  <c r="K473" i="8" s="1"/>
  <c r="K484" i="8"/>
  <c r="L74" i="9"/>
  <c r="N74" i="9" s="1"/>
  <c r="K83" i="9"/>
  <c r="I74" i="9"/>
  <c r="K74" i="9" s="1"/>
  <c r="L146" i="9"/>
  <c r="I214" i="9"/>
  <c r="K214" i="9" s="1"/>
  <c r="K224" i="9"/>
  <c r="I21" i="10"/>
  <c r="K23" i="10"/>
  <c r="I344" i="10"/>
  <c r="K346" i="10"/>
  <c r="K155" i="11"/>
  <c r="I149" i="11"/>
  <c r="N203" i="11"/>
  <c r="L201" i="11"/>
  <c r="J259" i="11"/>
  <c r="J245" i="11"/>
  <c r="M6" i="12"/>
  <c r="K155" i="12"/>
  <c r="I149" i="12"/>
  <c r="K44" i="13"/>
  <c r="K507" i="5"/>
  <c r="N132" i="6"/>
  <c r="L131" i="6"/>
  <c r="K180" i="6"/>
  <c r="I169" i="6"/>
  <c r="K169" i="6" s="1"/>
  <c r="I199" i="6"/>
  <c r="K199" i="6" s="1"/>
  <c r="K209" i="6"/>
  <c r="M299" i="6"/>
  <c r="M296" i="6" s="1"/>
  <c r="N301" i="6"/>
  <c r="M242" i="7"/>
  <c r="I297" i="7"/>
  <c r="J325" i="7"/>
  <c r="I325" i="7"/>
  <c r="K392" i="7"/>
  <c r="I297" i="8"/>
  <c r="N333" i="8"/>
  <c r="L332" i="8"/>
  <c r="K361" i="8"/>
  <c r="I377" i="8"/>
  <c r="K377" i="8" s="1"/>
  <c r="I522" i="1"/>
  <c r="J523" i="1"/>
  <c r="N55" i="9"/>
  <c r="L54" i="9"/>
  <c r="K271" i="9"/>
  <c r="I270" i="9"/>
  <c r="N447" i="9"/>
  <c r="L446" i="9"/>
  <c r="M459" i="9"/>
  <c r="M457" i="9" s="1"/>
  <c r="N461" i="9"/>
  <c r="K62" i="11"/>
  <c r="I52" i="11"/>
  <c r="K52" i="11" s="1"/>
  <c r="I63" i="11"/>
  <c r="K63" i="11" s="1"/>
  <c r="K126" i="11"/>
  <c r="N248" i="11"/>
  <c r="L247" i="11"/>
  <c r="N333" i="11"/>
  <c r="L332" i="11"/>
  <c r="N430" i="11"/>
  <c r="M428" i="11"/>
  <c r="M426" i="11" s="1"/>
  <c r="M242" i="11" s="1"/>
  <c r="N92" i="12"/>
  <c r="L91" i="12"/>
  <c r="L73" i="12"/>
  <c r="K138" i="12"/>
  <c r="I129" i="12"/>
  <c r="L278" i="12"/>
  <c r="N280" i="12"/>
  <c r="K314" i="12"/>
  <c r="J312" i="12"/>
  <c r="I296" i="12"/>
  <c r="K296" i="12" s="1"/>
  <c r="K317" i="12"/>
  <c r="M6" i="13"/>
  <c r="L73" i="13"/>
  <c r="N73" i="13" s="1"/>
  <c r="N77" i="13"/>
  <c r="L76" i="13"/>
  <c r="N92" i="13"/>
  <c r="L91" i="13"/>
  <c r="K345" i="13"/>
  <c r="I344" i="13"/>
  <c r="K512" i="5"/>
  <c r="K509" i="5"/>
  <c r="K505" i="5"/>
  <c r="K504" i="5"/>
  <c r="K508" i="5"/>
  <c r="K519" i="5"/>
  <c r="K516" i="5"/>
  <c r="K518" i="5"/>
  <c r="K514" i="5"/>
  <c r="K515" i="5"/>
  <c r="K524" i="5"/>
  <c r="N12" i="6"/>
  <c r="L9" i="6"/>
  <c r="L230" i="6"/>
  <c r="J391" i="6"/>
  <c r="J390" i="6" s="1"/>
  <c r="N460" i="6"/>
  <c r="K512" i="6"/>
  <c r="K509" i="6"/>
  <c r="K505" i="6"/>
  <c r="K508" i="6"/>
  <c r="K528" i="6"/>
  <c r="I21" i="7"/>
  <c r="L73" i="7"/>
  <c r="N73" i="7" s="1"/>
  <c r="N77" i="7"/>
  <c r="I185" i="7"/>
  <c r="K185" i="7" s="1"/>
  <c r="K195" i="7"/>
  <c r="N249" i="7"/>
  <c r="N280" i="7"/>
  <c r="K326" i="7"/>
  <c r="N334" i="7"/>
  <c r="L332" i="7"/>
  <c r="K22" i="8"/>
  <c r="I20" i="8"/>
  <c r="N35" i="8"/>
  <c r="I89" i="8"/>
  <c r="K89" i="8" s="1"/>
  <c r="N104" i="8"/>
  <c r="L103" i="8"/>
  <c r="K125" i="8"/>
  <c r="I114" i="8"/>
  <c r="N172" i="8"/>
  <c r="L171" i="8"/>
  <c r="N188" i="8"/>
  <c r="I311" i="8"/>
  <c r="J325" i="8"/>
  <c r="K345" i="8"/>
  <c r="I344" i="8"/>
  <c r="J410" i="8"/>
  <c r="J409" i="8"/>
  <c r="N429" i="8"/>
  <c r="L428" i="8"/>
  <c r="K527" i="8"/>
  <c r="K114" i="9"/>
  <c r="K209" i="9"/>
  <c r="K228" i="9"/>
  <c r="K313" i="9"/>
  <c r="I296" i="9"/>
  <c r="K296" i="9" s="1"/>
  <c r="J228" i="10"/>
  <c r="K240" i="10"/>
  <c r="I297" i="10"/>
  <c r="N300" i="10"/>
  <c r="L299" i="10"/>
  <c r="J316" i="10"/>
  <c r="K316" i="10" s="1"/>
  <c r="K319" i="10"/>
  <c r="J228" i="11"/>
  <c r="K240" i="11"/>
  <c r="N300" i="12"/>
  <c r="L299" i="12"/>
  <c r="K312" i="12"/>
  <c r="I311" i="12"/>
  <c r="K318" i="12"/>
  <c r="J316" i="12"/>
  <c r="K316" i="12" s="1"/>
  <c r="K390" i="12"/>
  <c r="L446" i="12"/>
  <c r="N447" i="12"/>
  <c r="L9" i="13"/>
  <c r="N12" i="13"/>
  <c r="N147" i="13"/>
  <c r="L146" i="13"/>
  <c r="I149" i="13"/>
  <c r="K155" i="13"/>
  <c r="K271" i="14"/>
  <c r="I270" i="14"/>
  <c r="I276" i="14"/>
  <c r="K276" i="14" s="1"/>
  <c r="K291" i="14"/>
  <c r="M247" i="9"/>
  <c r="N249" i="9"/>
  <c r="I344" i="9"/>
  <c r="K346" i="9"/>
  <c r="J391" i="9"/>
  <c r="J390" i="9" s="1"/>
  <c r="M6" i="10"/>
  <c r="L32" i="10"/>
  <c r="N35" i="10"/>
  <c r="N148" i="10"/>
  <c r="L146" i="10"/>
  <c r="K180" i="10"/>
  <c r="I169" i="10"/>
  <c r="K169" i="10" s="1"/>
  <c r="I228" i="10"/>
  <c r="K236" i="10"/>
  <c r="K323" i="10"/>
  <c r="J321" i="10"/>
  <c r="K321" i="10" s="1"/>
  <c r="N35" i="11"/>
  <c r="L32" i="11"/>
  <c r="N32" i="11" s="1"/>
  <c r="N55" i="11"/>
  <c r="L54" i="11"/>
  <c r="K138" i="11"/>
  <c r="I129" i="11"/>
  <c r="I68" i="11" s="1"/>
  <c r="K68" i="11" s="1"/>
  <c r="K236" i="11"/>
  <c r="I228" i="11"/>
  <c r="K291" i="11"/>
  <c r="I276" i="11"/>
  <c r="K276" i="11" s="1"/>
  <c r="N447" i="11"/>
  <c r="L446" i="11"/>
  <c r="K62" i="12"/>
  <c r="I63" i="12"/>
  <c r="K63" i="12" s="1"/>
  <c r="N104" i="12"/>
  <c r="L103" i="12"/>
  <c r="N148" i="12"/>
  <c r="L146" i="12"/>
  <c r="I214" i="12"/>
  <c r="K214" i="12" s="1"/>
  <c r="K224" i="12"/>
  <c r="I325" i="12"/>
  <c r="K326" i="12"/>
  <c r="J325" i="12"/>
  <c r="N353" i="12"/>
  <c r="L352" i="12"/>
  <c r="K361" i="12"/>
  <c r="I369" i="12"/>
  <c r="K369" i="12" s="1"/>
  <c r="K453" i="12"/>
  <c r="I444" i="12"/>
  <c r="K444" i="12" s="1"/>
  <c r="K488" i="12"/>
  <c r="I267" i="13"/>
  <c r="K267" i="13" s="1"/>
  <c r="I265" i="13"/>
  <c r="K265" i="13" s="1"/>
  <c r="I245" i="13"/>
  <c r="K245" i="13" s="1"/>
  <c r="M242" i="13"/>
  <c r="N429" i="13"/>
  <c r="L428" i="13"/>
  <c r="N460" i="13"/>
  <c r="L459" i="13"/>
  <c r="I32" i="14"/>
  <c r="K32" i="14" s="1"/>
  <c r="K44" i="14"/>
  <c r="I376" i="9"/>
  <c r="K376" i="9" s="1"/>
  <c r="I368" i="9"/>
  <c r="K368" i="9" s="1"/>
  <c r="I360" i="9"/>
  <c r="K360" i="9" s="1"/>
  <c r="K359" i="9"/>
  <c r="K484" i="9"/>
  <c r="I473" i="9"/>
  <c r="K473" i="9" s="1"/>
  <c r="K512" i="9"/>
  <c r="K509" i="9"/>
  <c r="K505" i="9"/>
  <c r="K506" i="9"/>
  <c r="I490" i="9"/>
  <c r="K490" i="9" s="1"/>
  <c r="K508" i="9"/>
  <c r="K519" i="9"/>
  <c r="K516" i="9"/>
  <c r="K515" i="9"/>
  <c r="K513" i="9"/>
  <c r="K22" i="10"/>
  <c r="I20" i="10"/>
  <c r="L73" i="10"/>
  <c r="L76" i="10"/>
  <c r="N447" i="10"/>
  <c r="L446" i="10"/>
  <c r="I33" i="11"/>
  <c r="K33" i="11" s="1"/>
  <c r="K317" i="11"/>
  <c r="K320" i="11"/>
  <c r="J316" i="11"/>
  <c r="K361" i="11"/>
  <c r="I369" i="11"/>
  <c r="K369" i="11" s="1"/>
  <c r="J410" i="11"/>
  <c r="J409" i="11"/>
  <c r="L459" i="11"/>
  <c r="N460" i="11"/>
  <c r="K523" i="11"/>
  <c r="N117" i="12"/>
  <c r="L116" i="12"/>
  <c r="K195" i="12"/>
  <c r="I185" i="12"/>
  <c r="K185" i="12" s="1"/>
  <c r="M475" i="12"/>
  <c r="N477" i="12"/>
  <c r="L492" i="12"/>
  <c r="N493" i="12"/>
  <c r="I228" i="13"/>
  <c r="K228" i="13" s="1"/>
  <c r="K236" i="13"/>
  <c r="I444" i="13"/>
  <c r="K444" i="13" s="1"/>
  <c r="K453" i="13"/>
  <c r="N248" i="14"/>
  <c r="L247" i="14"/>
  <c r="I267" i="14"/>
  <c r="K267" i="14" s="1"/>
  <c r="I265" i="14"/>
  <c r="K265" i="14" s="1"/>
  <c r="K263" i="14"/>
  <c r="I245" i="14"/>
  <c r="K245" i="14" s="1"/>
  <c r="J312" i="14"/>
  <c r="K314" i="14"/>
  <c r="K320" i="14"/>
  <c r="J316" i="14"/>
  <c r="K316" i="14" s="1"/>
  <c r="N333" i="14"/>
  <c r="L332" i="14"/>
  <c r="N354" i="4"/>
  <c r="N430" i="4"/>
  <c r="K528" i="4"/>
  <c r="N494" i="5"/>
  <c r="I21" i="6"/>
  <c r="I144" i="6"/>
  <c r="K144" i="6" s="1"/>
  <c r="N334" i="6"/>
  <c r="I376" i="6"/>
  <c r="K376" i="6" s="1"/>
  <c r="I368" i="6"/>
  <c r="K368" i="6" s="1"/>
  <c r="I360" i="6"/>
  <c r="K360" i="6" s="1"/>
  <c r="K519" i="6"/>
  <c r="K516" i="6"/>
  <c r="J391" i="7"/>
  <c r="N447" i="7"/>
  <c r="L446" i="7"/>
  <c r="K512" i="7"/>
  <c r="K509" i="7"/>
  <c r="K505" i="7"/>
  <c r="K507" i="7"/>
  <c r="K511" i="7"/>
  <c r="K524" i="7"/>
  <c r="N55" i="8"/>
  <c r="L54" i="8"/>
  <c r="N117" i="8"/>
  <c r="L116" i="8"/>
  <c r="K155" i="8"/>
  <c r="I149" i="8"/>
  <c r="K44" i="9"/>
  <c r="I32" i="9"/>
  <c r="J325" i="9"/>
  <c r="K325" i="9" s="1"/>
  <c r="K326" i="9"/>
  <c r="K111" i="10"/>
  <c r="I101" i="10"/>
  <c r="K101" i="10" s="1"/>
  <c r="I311" i="10"/>
  <c r="I376" i="10"/>
  <c r="K376" i="10" s="1"/>
  <c r="I368" i="10"/>
  <c r="K368" i="10" s="1"/>
  <c r="I360" i="10"/>
  <c r="K360" i="10" s="1"/>
  <c r="K466" i="10"/>
  <c r="I457" i="10"/>
  <c r="K457" i="10" s="1"/>
  <c r="N117" i="11"/>
  <c r="L116" i="11"/>
  <c r="L73" i="11"/>
  <c r="N73" i="11" s="1"/>
  <c r="N148" i="11"/>
  <c r="L146" i="11"/>
  <c r="I311" i="11"/>
  <c r="I297" i="11"/>
  <c r="K466" i="11"/>
  <c r="I457" i="11"/>
  <c r="K457" i="11" s="1"/>
  <c r="N132" i="12"/>
  <c r="L131" i="12"/>
  <c r="L247" i="12"/>
  <c r="N248" i="12"/>
  <c r="J259" i="12"/>
  <c r="J245" i="12"/>
  <c r="K345" i="12"/>
  <c r="I344" i="12"/>
  <c r="N460" i="12"/>
  <c r="L459" i="12"/>
  <c r="K511" i="12"/>
  <c r="K508" i="12"/>
  <c r="K504" i="12"/>
  <c r="K509" i="12"/>
  <c r="K512" i="12"/>
  <c r="K506" i="12"/>
  <c r="I490" i="12"/>
  <c r="K490" i="12" s="1"/>
  <c r="K505" i="12"/>
  <c r="K98" i="13"/>
  <c r="I89" i="13"/>
  <c r="K89" i="13" s="1"/>
  <c r="L247" i="13"/>
  <c r="N248" i="13"/>
  <c r="K125" i="14"/>
  <c r="I114" i="14"/>
  <c r="K114" i="14" s="1"/>
  <c r="K180" i="14"/>
  <c r="I169" i="14"/>
  <c r="K169" i="14" s="1"/>
  <c r="K313" i="14"/>
  <c r="I296" i="14"/>
  <c r="K296" i="14" s="1"/>
  <c r="I350" i="14"/>
  <c r="K350" i="14" s="1"/>
  <c r="I368" i="14"/>
  <c r="K368" i="14" s="1"/>
  <c r="K359" i="14"/>
  <c r="I376" i="14"/>
  <c r="K376" i="14" s="1"/>
  <c r="I360" i="14"/>
  <c r="K360" i="14" s="1"/>
  <c r="K484" i="14"/>
  <c r="I473" i="14"/>
  <c r="K473" i="14" s="1"/>
  <c r="K271" i="15"/>
  <c r="I270" i="15"/>
  <c r="L278" i="15"/>
  <c r="N279" i="15"/>
  <c r="K322" i="15"/>
  <c r="I296" i="15"/>
  <c r="K296" i="15" s="1"/>
  <c r="J325" i="15"/>
  <c r="K326" i="15"/>
  <c r="I325" i="15"/>
  <c r="N350" i="15"/>
  <c r="L73" i="9"/>
  <c r="N354" i="9"/>
  <c r="N430" i="9"/>
  <c r="K528" i="9"/>
  <c r="I20" i="12"/>
  <c r="K22" i="12"/>
  <c r="N55" i="12"/>
  <c r="L54" i="12"/>
  <c r="N172" i="12"/>
  <c r="L171" i="12"/>
  <c r="N333" i="12"/>
  <c r="L332" i="12"/>
  <c r="N429" i="12"/>
  <c r="L428" i="12"/>
  <c r="N132" i="13"/>
  <c r="L131" i="13"/>
  <c r="I270" i="13"/>
  <c r="K271" i="13"/>
  <c r="K62" i="14"/>
  <c r="I63" i="14"/>
  <c r="K63" i="14" s="1"/>
  <c r="K240" i="14"/>
  <c r="I297" i="14"/>
  <c r="N116" i="15"/>
  <c r="L114" i="15"/>
  <c r="N114" i="15" s="1"/>
  <c r="L247" i="15"/>
  <c r="N248" i="15"/>
  <c r="K292" i="15"/>
  <c r="I275" i="15"/>
  <c r="K275" i="15" s="1"/>
  <c r="K391" i="15"/>
  <c r="M459" i="15"/>
  <c r="N461" i="15"/>
  <c r="L475" i="15"/>
  <c r="N476" i="15"/>
  <c r="I369" i="15"/>
  <c r="K369" i="15" s="1"/>
  <c r="K361" i="15"/>
  <c r="I377" i="15"/>
  <c r="K377" i="15" s="1"/>
  <c r="I457" i="15"/>
  <c r="K457" i="15" s="1"/>
  <c r="K466" i="15"/>
  <c r="N494" i="15"/>
  <c r="L492" i="15"/>
  <c r="K44" i="11"/>
  <c r="I32" i="11"/>
  <c r="K32" i="11" s="1"/>
  <c r="N92" i="11"/>
  <c r="L91" i="11"/>
  <c r="N104" i="11"/>
  <c r="L103" i="11"/>
  <c r="N172" i="11"/>
  <c r="L171" i="11"/>
  <c r="K345" i="11"/>
  <c r="I344" i="11"/>
  <c r="N353" i="11"/>
  <c r="L352" i="11"/>
  <c r="N429" i="11"/>
  <c r="L428" i="11"/>
  <c r="K453" i="11"/>
  <c r="I444" i="11"/>
  <c r="K444" i="11" s="1"/>
  <c r="N493" i="11"/>
  <c r="L492" i="11"/>
  <c r="K236" i="12"/>
  <c r="K391" i="12"/>
  <c r="I473" i="12"/>
  <c r="K473" i="12" s="1"/>
  <c r="K484" i="12"/>
  <c r="K521" i="12"/>
  <c r="K111" i="13"/>
  <c r="I101" i="13"/>
  <c r="K101" i="13" s="1"/>
  <c r="K125" i="13"/>
  <c r="I114" i="13"/>
  <c r="K114" i="13" s="1"/>
  <c r="K318" i="13"/>
  <c r="J316" i="13"/>
  <c r="M6" i="14"/>
  <c r="I68" i="14"/>
  <c r="K68" i="14" s="1"/>
  <c r="K126" i="14"/>
  <c r="N188" i="14"/>
  <c r="L187" i="14"/>
  <c r="I344" i="14"/>
  <c r="K345" i="14"/>
  <c r="M428" i="14"/>
  <c r="N430" i="14"/>
  <c r="K519" i="14"/>
  <c r="K516" i="14"/>
  <c r="K515" i="14"/>
  <c r="K513" i="14"/>
  <c r="K518" i="14"/>
  <c r="K514" i="14"/>
  <c r="I297" i="15"/>
  <c r="I311" i="15"/>
  <c r="N352" i="15"/>
  <c r="J391" i="15"/>
  <c r="J390" i="15" s="1"/>
  <c r="K390" i="15" s="1"/>
  <c r="K518" i="12"/>
  <c r="K515" i="12"/>
  <c r="K513" i="12"/>
  <c r="K514" i="12"/>
  <c r="K519" i="12"/>
  <c r="N72" i="13"/>
  <c r="N280" i="13"/>
  <c r="N301" i="13"/>
  <c r="I311" i="13"/>
  <c r="I297" i="13"/>
  <c r="N116" i="14"/>
  <c r="N132" i="14"/>
  <c r="L131" i="14"/>
  <c r="N231" i="14"/>
  <c r="L230" i="14"/>
  <c r="N249" i="14"/>
  <c r="J259" i="14"/>
  <c r="J245" i="14"/>
  <c r="N301" i="14"/>
  <c r="L299" i="14"/>
  <c r="N448" i="14"/>
  <c r="L446" i="14"/>
  <c r="K512" i="14"/>
  <c r="K509" i="14"/>
  <c r="K505" i="14"/>
  <c r="K506" i="14"/>
  <c r="I490" i="14"/>
  <c r="K490" i="14" s="1"/>
  <c r="K504" i="14"/>
  <c r="K511" i="14"/>
  <c r="K507" i="14"/>
  <c r="N12" i="15"/>
  <c r="L9" i="15"/>
  <c r="N447" i="15"/>
  <c r="L446" i="15"/>
  <c r="K359" i="13"/>
  <c r="K518" i="13"/>
  <c r="K515" i="13"/>
  <c r="K513" i="13"/>
  <c r="K514" i="13"/>
  <c r="K519" i="13"/>
  <c r="N72" i="14"/>
  <c r="K440" i="14"/>
  <c r="I426" i="14"/>
  <c r="K426" i="14" s="1"/>
  <c r="M459" i="14"/>
  <c r="M457" i="14" s="1"/>
  <c r="N461" i="14"/>
  <c r="K524" i="14"/>
  <c r="L32" i="15"/>
  <c r="N32" i="15" s="1"/>
  <c r="N35" i="15"/>
  <c r="K98" i="15"/>
  <c r="I89" i="15"/>
  <c r="K89" i="15" s="1"/>
  <c r="K291" i="15"/>
  <c r="I276" i="15"/>
  <c r="K276" i="15" s="1"/>
  <c r="K392" i="15"/>
  <c r="I369" i="13"/>
  <c r="K369" i="13" s="1"/>
  <c r="N280" i="14"/>
  <c r="L73" i="15"/>
  <c r="N73" i="15" s="1"/>
  <c r="L76" i="15"/>
  <c r="N203" i="15"/>
  <c r="L201" i="15"/>
  <c r="K314" i="15"/>
  <c r="J312" i="15"/>
  <c r="N430" i="15"/>
  <c r="K512" i="15"/>
  <c r="K509" i="15"/>
  <c r="K505" i="15"/>
  <c r="K508" i="15"/>
  <c r="K507" i="15"/>
  <c r="K521" i="15"/>
  <c r="N132" i="15"/>
  <c r="L131" i="15"/>
  <c r="K180" i="15"/>
  <c r="I169" i="15"/>
  <c r="K169" i="15" s="1"/>
  <c r="I199" i="15"/>
  <c r="K199" i="15" s="1"/>
  <c r="K209" i="15"/>
  <c r="M299" i="15"/>
  <c r="M296" i="15" s="1"/>
  <c r="N301" i="15"/>
  <c r="I21" i="15"/>
  <c r="N334" i="15"/>
  <c r="I376" i="15"/>
  <c r="K376" i="15" s="1"/>
  <c r="I368" i="15"/>
  <c r="K368" i="15" s="1"/>
  <c r="I360" i="15"/>
  <c r="K360" i="15" s="1"/>
  <c r="K519" i="15"/>
  <c r="K516" i="15"/>
  <c r="K149" i="9" l="1"/>
  <c r="I68" i="10"/>
  <c r="K68" i="10" s="1"/>
  <c r="L169" i="14"/>
  <c r="N169" i="14" s="1"/>
  <c r="L199" i="12"/>
  <c r="N199" i="12" s="1"/>
  <c r="K482" i="1"/>
  <c r="L101" i="6"/>
  <c r="N101" i="6" s="1"/>
  <c r="L473" i="2"/>
  <c r="N473" i="2" s="1"/>
  <c r="N332" i="5"/>
  <c r="N171" i="2"/>
  <c r="N171" i="6"/>
  <c r="N492" i="9"/>
  <c r="N76" i="2"/>
  <c r="N103" i="15"/>
  <c r="L129" i="10"/>
  <c r="N129" i="10" s="1"/>
  <c r="K484" i="1"/>
  <c r="K149" i="2"/>
  <c r="L228" i="3"/>
  <c r="N228" i="3" s="1"/>
  <c r="L457" i="5"/>
  <c r="N457" i="5" s="1"/>
  <c r="L350" i="4"/>
  <c r="N350" i="4" s="1"/>
  <c r="N201" i="13"/>
  <c r="L330" i="4"/>
  <c r="N330" i="4" s="1"/>
  <c r="K526" i="1"/>
  <c r="N91" i="4"/>
  <c r="L101" i="10"/>
  <c r="N101" i="10" s="1"/>
  <c r="I68" i="13"/>
  <c r="K68" i="13" s="1"/>
  <c r="L228" i="13"/>
  <c r="N228" i="13" s="1"/>
  <c r="N299" i="3"/>
  <c r="I68" i="7"/>
  <c r="K68" i="7" s="1"/>
  <c r="N492" i="14"/>
  <c r="N457" i="14"/>
  <c r="N299" i="2"/>
  <c r="L457" i="9"/>
  <c r="N457" i="9" s="1"/>
  <c r="N301" i="1"/>
  <c r="L490" i="5"/>
  <c r="N490" i="5" s="1"/>
  <c r="N171" i="3"/>
  <c r="L52" i="2"/>
  <c r="N52" i="2" s="1"/>
  <c r="K149" i="7"/>
  <c r="K236" i="1"/>
  <c r="L214" i="2"/>
  <c r="N214" i="2" s="1"/>
  <c r="N332" i="3"/>
  <c r="L144" i="4"/>
  <c r="N144" i="4" s="1"/>
  <c r="N475" i="4"/>
  <c r="L144" i="7"/>
  <c r="N144" i="7" s="1"/>
  <c r="N332" i="13"/>
  <c r="L74" i="3"/>
  <c r="N352" i="2"/>
  <c r="N332" i="6"/>
  <c r="I9" i="15"/>
  <c r="K9" i="15" s="1"/>
  <c r="N278" i="6"/>
  <c r="N492" i="3"/>
  <c r="L199" i="7"/>
  <c r="N199" i="7" s="1"/>
  <c r="N230" i="9"/>
  <c r="N247" i="6"/>
  <c r="N247" i="5"/>
  <c r="J311" i="11"/>
  <c r="J297" i="11" s="1"/>
  <c r="K297" i="11" s="1"/>
  <c r="N332" i="10"/>
  <c r="L89" i="3"/>
  <c r="N89" i="3" s="1"/>
  <c r="I330" i="15"/>
  <c r="K330" i="15" s="1"/>
  <c r="L444" i="13"/>
  <c r="N444" i="13" s="1"/>
  <c r="L228" i="12"/>
  <c r="N228" i="12" s="1"/>
  <c r="K344" i="6"/>
  <c r="I244" i="7"/>
  <c r="K244" i="7" s="1"/>
  <c r="N247" i="10"/>
  <c r="L89" i="9"/>
  <c r="N89" i="9" s="1"/>
  <c r="N91" i="15"/>
  <c r="L296" i="11"/>
  <c r="N296" i="11" s="1"/>
  <c r="L52" i="10"/>
  <c r="N52" i="10" s="1"/>
  <c r="N278" i="3"/>
  <c r="L275" i="9"/>
  <c r="N275" i="9" s="1"/>
  <c r="L426" i="2"/>
  <c r="N426" i="2" s="1"/>
  <c r="N475" i="14"/>
  <c r="K149" i="5"/>
  <c r="N187" i="8"/>
  <c r="N230" i="11"/>
  <c r="N475" i="10"/>
  <c r="N103" i="5"/>
  <c r="K20" i="4"/>
  <c r="L296" i="4"/>
  <c r="N296" i="4" s="1"/>
  <c r="K486" i="1"/>
  <c r="L52" i="6"/>
  <c r="N52" i="6" s="1"/>
  <c r="J411" i="1"/>
  <c r="L199" i="8"/>
  <c r="N199" i="8" s="1"/>
  <c r="J311" i="8"/>
  <c r="J297" i="8" s="1"/>
  <c r="K297" i="8" s="1"/>
  <c r="N54" i="15"/>
  <c r="I9" i="7"/>
  <c r="K9" i="7" s="1"/>
  <c r="N278" i="2"/>
  <c r="I68" i="15"/>
  <c r="K68" i="15" s="1"/>
  <c r="K270" i="10"/>
  <c r="N475" i="11"/>
  <c r="I68" i="8"/>
  <c r="K68" i="8" s="1"/>
  <c r="N116" i="6"/>
  <c r="N299" i="7"/>
  <c r="L185" i="11"/>
  <c r="N185" i="11" s="1"/>
  <c r="L350" i="6"/>
  <c r="N350" i="6" s="1"/>
  <c r="L490" i="2"/>
  <c r="N490" i="2" s="1"/>
  <c r="J311" i="6"/>
  <c r="J297" i="6" s="1"/>
  <c r="K297" i="6" s="1"/>
  <c r="K316" i="8"/>
  <c r="K312" i="6"/>
  <c r="K525" i="1"/>
  <c r="N12" i="1"/>
  <c r="K344" i="5"/>
  <c r="I9" i="9"/>
  <c r="K9" i="9" s="1"/>
  <c r="N201" i="2"/>
  <c r="L457" i="3"/>
  <c r="N457" i="3" s="1"/>
  <c r="K270" i="5"/>
  <c r="L199" i="14"/>
  <c r="N199" i="14" s="1"/>
  <c r="L114" i="9"/>
  <c r="N114" i="9" s="1"/>
  <c r="L214" i="15"/>
  <c r="N214" i="15" s="1"/>
  <c r="L214" i="8"/>
  <c r="N214" i="8" s="1"/>
  <c r="K316" i="11"/>
  <c r="N187" i="12"/>
  <c r="J311" i="7"/>
  <c r="J297" i="7" s="1"/>
  <c r="K297" i="7" s="1"/>
  <c r="K528" i="1"/>
  <c r="J311" i="5"/>
  <c r="J297" i="5" s="1"/>
  <c r="K297" i="5" s="1"/>
  <c r="N171" i="10"/>
  <c r="J311" i="15"/>
  <c r="J297" i="15" s="1"/>
  <c r="K297" i="15" s="1"/>
  <c r="L426" i="7"/>
  <c r="N426" i="7" s="1"/>
  <c r="N278" i="4"/>
  <c r="J311" i="9"/>
  <c r="L129" i="11"/>
  <c r="N129" i="11" s="1"/>
  <c r="K238" i="1"/>
  <c r="K524" i="1"/>
  <c r="K270" i="11"/>
  <c r="N352" i="13"/>
  <c r="L101" i="13"/>
  <c r="N101" i="13" s="1"/>
  <c r="N459" i="8"/>
  <c r="K21" i="14"/>
  <c r="N103" i="3"/>
  <c r="N461" i="1"/>
  <c r="N230" i="5"/>
  <c r="L169" i="7"/>
  <c r="N169" i="7" s="1"/>
  <c r="N171" i="15"/>
  <c r="N247" i="3"/>
  <c r="N216" i="10"/>
  <c r="L185" i="3"/>
  <c r="N185" i="3" s="1"/>
  <c r="L185" i="15"/>
  <c r="N185" i="15" s="1"/>
  <c r="K245" i="12"/>
  <c r="K490" i="8"/>
  <c r="L185" i="6"/>
  <c r="N185" i="6" s="1"/>
  <c r="L426" i="9"/>
  <c r="N426" i="9" s="1"/>
  <c r="I144" i="15"/>
  <c r="K144" i="15" s="1"/>
  <c r="K270" i="12"/>
  <c r="K228" i="10"/>
  <c r="K522" i="1"/>
  <c r="N492" i="4"/>
  <c r="I244" i="4"/>
  <c r="K244" i="4" s="1"/>
  <c r="L169" i="5"/>
  <c r="N169" i="5" s="1"/>
  <c r="L473" i="3"/>
  <c r="N473" i="3" s="1"/>
  <c r="L214" i="11"/>
  <c r="N214" i="11" s="1"/>
  <c r="N459" i="14"/>
  <c r="K521" i="1"/>
  <c r="K490" i="10"/>
  <c r="N146" i="14"/>
  <c r="L185" i="2"/>
  <c r="N185" i="2" s="1"/>
  <c r="N459" i="2"/>
  <c r="L214" i="5"/>
  <c r="N214" i="5" s="1"/>
  <c r="J311" i="10"/>
  <c r="J297" i="10" s="1"/>
  <c r="K297" i="10" s="1"/>
  <c r="L114" i="13"/>
  <c r="N114" i="13" s="1"/>
  <c r="I10" i="11"/>
  <c r="K10" i="11" s="1"/>
  <c r="K325" i="8"/>
  <c r="K344" i="7"/>
  <c r="I144" i="4"/>
  <c r="K144" i="4" s="1"/>
  <c r="L275" i="11"/>
  <c r="N275" i="11" s="1"/>
  <c r="N146" i="8"/>
  <c r="J311" i="3"/>
  <c r="J297" i="3" s="1"/>
  <c r="K297" i="3" s="1"/>
  <c r="L444" i="8"/>
  <c r="N444" i="8" s="1"/>
  <c r="K240" i="1"/>
  <c r="K325" i="10"/>
  <c r="L185" i="10"/>
  <c r="N185" i="10" s="1"/>
  <c r="K20" i="13"/>
  <c r="N171" i="4"/>
  <c r="N171" i="13"/>
  <c r="K228" i="11"/>
  <c r="L71" i="15"/>
  <c r="L68" i="15" s="1"/>
  <c r="N68" i="15" s="1"/>
  <c r="K325" i="12"/>
  <c r="L71" i="8"/>
  <c r="L68" i="8" s="1"/>
  <c r="N68" i="8" s="1"/>
  <c r="N430" i="1"/>
  <c r="I262" i="1"/>
  <c r="K262" i="1" s="1"/>
  <c r="L199" i="9"/>
  <c r="N199" i="9" s="1"/>
  <c r="N492" i="13"/>
  <c r="K312" i="9"/>
  <c r="L350" i="7"/>
  <c r="N350" i="7" s="1"/>
  <c r="L185" i="5"/>
  <c r="N185" i="5" s="1"/>
  <c r="K527" i="1"/>
  <c r="I9" i="11"/>
  <c r="K9" i="11" s="1"/>
  <c r="K20" i="11"/>
  <c r="N146" i="15"/>
  <c r="L144" i="15"/>
  <c r="N144" i="15" s="1"/>
  <c r="L492" i="1"/>
  <c r="N492" i="1" s="1"/>
  <c r="N278" i="14"/>
  <c r="L275" i="14"/>
  <c r="N275" i="14" s="1"/>
  <c r="N146" i="6"/>
  <c r="L144" i="6"/>
  <c r="N144" i="6" s="1"/>
  <c r="L426" i="15"/>
  <c r="N426" i="15" s="1"/>
  <c r="N428" i="15"/>
  <c r="K129" i="3"/>
  <c r="I68" i="3"/>
  <c r="K68" i="3" s="1"/>
  <c r="I144" i="10"/>
  <c r="K144" i="10" s="1"/>
  <c r="K149" i="10"/>
  <c r="N216" i="4"/>
  <c r="L214" i="4"/>
  <c r="N214" i="4" s="1"/>
  <c r="N103" i="14"/>
  <c r="L101" i="14"/>
  <c r="N101" i="14" s="1"/>
  <c r="N187" i="13"/>
  <c r="L185" i="13"/>
  <c r="N185" i="13" s="1"/>
  <c r="N230" i="8"/>
  <c r="L228" i="8"/>
  <c r="N228" i="8" s="1"/>
  <c r="N131" i="9"/>
  <c r="L129" i="9"/>
  <c r="N129" i="9" s="1"/>
  <c r="N230" i="2"/>
  <c r="L228" i="2"/>
  <c r="N228" i="2" s="1"/>
  <c r="J409" i="1"/>
  <c r="J228" i="1"/>
  <c r="J311" i="13"/>
  <c r="J297" i="13" s="1"/>
  <c r="K297" i="13" s="1"/>
  <c r="K510" i="1"/>
  <c r="K512" i="1"/>
  <c r="L228" i="15"/>
  <c r="N228" i="15" s="1"/>
  <c r="N230" i="15"/>
  <c r="L275" i="7"/>
  <c r="N275" i="7" s="1"/>
  <c r="N278" i="7"/>
  <c r="L101" i="7"/>
  <c r="N101" i="7" s="1"/>
  <c r="N103" i="7"/>
  <c r="L350" i="9"/>
  <c r="N350" i="9" s="1"/>
  <c r="N352" i="9"/>
  <c r="N54" i="14"/>
  <c r="L52" i="14"/>
  <c r="N52" i="14" s="1"/>
  <c r="N216" i="9"/>
  <c r="L214" i="9"/>
  <c r="N214" i="9" s="1"/>
  <c r="K325" i="5"/>
  <c r="L144" i="2"/>
  <c r="N144" i="2" s="1"/>
  <c r="N146" i="2"/>
  <c r="N201" i="3"/>
  <c r="L199" i="3"/>
  <c r="N199" i="3" s="1"/>
  <c r="L71" i="7"/>
  <c r="N71" i="7" s="1"/>
  <c r="K505" i="1"/>
  <c r="N332" i="15"/>
  <c r="L330" i="15"/>
  <c r="N330" i="15" s="1"/>
  <c r="I10" i="12"/>
  <c r="K10" i="12" s="1"/>
  <c r="K21" i="12"/>
  <c r="N230" i="10"/>
  <c r="L228" i="10"/>
  <c r="N228" i="10" s="1"/>
  <c r="L129" i="4"/>
  <c r="N129" i="4" s="1"/>
  <c r="N131" i="4"/>
  <c r="N216" i="7"/>
  <c r="L214" i="7"/>
  <c r="N214" i="7" s="1"/>
  <c r="L74" i="14"/>
  <c r="N74" i="14" s="1"/>
  <c r="N76" i="14"/>
  <c r="K344" i="4"/>
  <c r="I330" i="4"/>
  <c r="K330" i="4" s="1"/>
  <c r="K325" i="3"/>
  <c r="L101" i="2"/>
  <c r="N101" i="2" s="1"/>
  <c r="N103" i="2"/>
  <c r="N216" i="6"/>
  <c r="L214" i="6"/>
  <c r="N214" i="6" s="1"/>
  <c r="N216" i="3"/>
  <c r="L216" i="1"/>
  <c r="N216" i="1" s="1"/>
  <c r="L214" i="3"/>
  <c r="N91" i="10"/>
  <c r="L89" i="10"/>
  <c r="N89" i="10" s="1"/>
  <c r="L101" i="9"/>
  <c r="N101" i="9" s="1"/>
  <c r="N103" i="9"/>
  <c r="K325" i="15"/>
  <c r="L76" i="1"/>
  <c r="N76" i="1" s="1"/>
  <c r="K312" i="3"/>
  <c r="K325" i="14"/>
  <c r="N216" i="12"/>
  <c r="L214" i="12"/>
  <c r="N214" i="12" s="1"/>
  <c r="L52" i="7"/>
  <c r="N52" i="7" s="1"/>
  <c r="N54" i="7"/>
  <c r="N352" i="14"/>
  <c r="L350" i="14"/>
  <c r="N350" i="14" s="1"/>
  <c r="N116" i="2"/>
  <c r="L114" i="2"/>
  <c r="N114" i="2" s="1"/>
  <c r="N216" i="13"/>
  <c r="L214" i="13"/>
  <c r="N214" i="13" s="1"/>
  <c r="N76" i="8"/>
  <c r="I473" i="1"/>
  <c r="K473" i="1" s="1"/>
  <c r="K511" i="1"/>
  <c r="K506" i="1"/>
  <c r="K20" i="14"/>
  <c r="I9" i="14"/>
  <c r="K9" i="14" s="1"/>
  <c r="N216" i="14"/>
  <c r="L214" i="14"/>
  <c r="N214" i="14" s="1"/>
  <c r="L89" i="6"/>
  <c r="N89" i="6" s="1"/>
  <c r="N91" i="6"/>
  <c r="K149" i="14"/>
  <c r="I144" i="14"/>
  <c r="K144" i="14" s="1"/>
  <c r="K21" i="13"/>
  <c r="I10" i="13"/>
  <c r="K10" i="13" s="1"/>
  <c r="L114" i="7"/>
  <c r="N114" i="7" s="1"/>
  <c r="N116" i="7"/>
  <c r="I330" i="2"/>
  <c r="K330" i="2" s="1"/>
  <c r="K344" i="2"/>
  <c r="N475" i="6"/>
  <c r="L473" i="6"/>
  <c r="N473" i="6" s="1"/>
  <c r="N247" i="8"/>
  <c r="L244" i="8"/>
  <c r="N244" i="8" s="1"/>
  <c r="N131" i="7"/>
  <c r="L129" i="7"/>
  <c r="N129" i="7" s="1"/>
  <c r="L52" i="4"/>
  <c r="N52" i="4" s="1"/>
  <c r="N54" i="4"/>
  <c r="N146" i="3"/>
  <c r="L144" i="3"/>
  <c r="N144" i="3" s="1"/>
  <c r="N187" i="9"/>
  <c r="L185" i="9"/>
  <c r="N185" i="9" s="1"/>
  <c r="L244" i="2"/>
  <c r="N244" i="2" s="1"/>
  <c r="N247" i="2"/>
  <c r="N475" i="9"/>
  <c r="L473" i="9"/>
  <c r="N473" i="9" s="1"/>
  <c r="I10" i="9"/>
  <c r="K10" i="9" s="1"/>
  <c r="K21" i="9"/>
  <c r="N299" i="15"/>
  <c r="N446" i="14"/>
  <c r="L444" i="14"/>
  <c r="N444" i="14" s="1"/>
  <c r="L228" i="14"/>
  <c r="N228" i="14" s="1"/>
  <c r="N230" i="14"/>
  <c r="L350" i="11"/>
  <c r="N350" i="11" s="1"/>
  <c r="N352" i="11"/>
  <c r="L426" i="12"/>
  <c r="N426" i="12" s="1"/>
  <c r="N428" i="12"/>
  <c r="K270" i="15"/>
  <c r="I244" i="15"/>
  <c r="K244" i="15" s="1"/>
  <c r="K344" i="12"/>
  <c r="I330" i="12"/>
  <c r="K330" i="12" s="1"/>
  <c r="L52" i="8"/>
  <c r="N54" i="8"/>
  <c r="N73" i="10"/>
  <c r="L71" i="10"/>
  <c r="K344" i="9"/>
  <c r="I330" i="9"/>
  <c r="K330" i="9" s="1"/>
  <c r="N446" i="12"/>
  <c r="L444" i="12"/>
  <c r="N444" i="12" s="1"/>
  <c r="I9" i="8"/>
  <c r="K9" i="8" s="1"/>
  <c r="K20" i="8"/>
  <c r="N9" i="6"/>
  <c r="N244" i="10"/>
  <c r="I330" i="10"/>
  <c r="K330" i="10" s="1"/>
  <c r="K344" i="10"/>
  <c r="L473" i="8"/>
  <c r="N473" i="8" s="1"/>
  <c r="N475" i="8"/>
  <c r="J391" i="1"/>
  <c r="K391" i="1" s="1"/>
  <c r="J312" i="1"/>
  <c r="K312" i="1" s="1"/>
  <c r="N278" i="8"/>
  <c r="L275" i="8"/>
  <c r="N74" i="3"/>
  <c r="L169" i="9"/>
  <c r="N169" i="9" s="1"/>
  <c r="N171" i="9"/>
  <c r="N54" i="3"/>
  <c r="L52" i="3"/>
  <c r="L54" i="1"/>
  <c r="N54" i="1" s="1"/>
  <c r="M275" i="10"/>
  <c r="N278" i="10"/>
  <c r="K21" i="8"/>
  <c r="I10" i="8"/>
  <c r="K10" i="8" s="1"/>
  <c r="L296" i="5"/>
  <c r="N296" i="5" s="1"/>
  <c r="N299" i="5"/>
  <c r="K376" i="2"/>
  <c r="I376" i="1"/>
  <c r="K376" i="1" s="1"/>
  <c r="K89" i="2"/>
  <c r="I89" i="1"/>
  <c r="K89" i="1" s="1"/>
  <c r="N73" i="5"/>
  <c r="L71" i="5"/>
  <c r="M6" i="1"/>
  <c r="N9" i="15"/>
  <c r="L169" i="11"/>
  <c r="N169" i="11" s="1"/>
  <c r="N171" i="11"/>
  <c r="L490" i="15"/>
  <c r="N490" i="15" s="1"/>
  <c r="N492" i="15"/>
  <c r="N475" i="15"/>
  <c r="L473" i="15"/>
  <c r="N473" i="15" s="1"/>
  <c r="L129" i="13"/>
  <c r="N129" i="13" s="1"/>
  <c r="N131" i="13"/>
  <c r="L169" i="12"/>
  <c r="N169" i="12" s="1"/>
  <c r="N171" i="12"/>
  <c r="L114" i="11"/>
  <c r="N114" i="11" s="1"/>
  <c r="N116" i="11"/>
  <c r="L457" i="13"/>
  <c r="N457" i="13" s="1"/>
  <c r="N459" i="13"/>
  <c r="N146" i="12"/>
  <c r="L144" i="12"/>
  <c r="N144" i="12" s="1"/>
  <c r="N146" i="10"/>
  <c r="L144" i="10"/>
  <c r="N144" i="10" s="1"/>
  <c r="L144" i="13"/>
  <c r="N144" i="13" s="1"/>
  <c r="N146" i="13"/>
  <c r="K114" i="8"/>
  <c r="I114" i="1"/>
  <c r="K114" i="1" s="1"/>
  <c r="K344" i="13"/>
  <c r="I330" i="13"/>
  <c r="K330" i="13" s="1"/>
  <c r="N91" i="13"/>
  <c r="L89" i="13"/>
  <c r="N89" i="13" s="1"/>
  <c r="N278" i="12"/>
  <c r="L275" i="12"/>
  <c r="N275" i="12" s="1"/>
  <c r="L52" i="9"/>
  <c r="N54" i="9"/>
  <c r="L129" i="6"/>
  <c r="N129" i="6" s="1"/>
  <c r="N131" i="6"/>
  <c r="I144" i="11"/>
  <c r="K144" i="11" s="1"/>
  <c r="K149" i="11"/>
  <c r="L426" i="6"/>
  <c r="N426" i="6" s="1"/>
  <c r="N428" i="6"/>
  <c r="K21" i="4"/>
  <c r="I10" i="4"/>
  <c r="K10" i="4" s="1"/>
  <c r="L490" i="8"/>
  <c r="N490" i="8" s="1"/>
  <c r="N492" i="8"/>
  <c r="N475" i="7"/>
  <c r="L473" i="7"/>
  <c r="N473" i="7" s="1"/>
  <c r="K185" i="4"/>
  <c r="I185" i="1"/>
  <c r="K185" i="1" s="1"/>
  <c r="L444" i="3"/>
  <c r="N444" i="3" s="1"/>
  <c r="N446" i="3"/>
  <c r="J325" i="1"/>
  <c r="L244" i="4"/>
  <c r="N247" i="4"/>
  <c r="L247" i="1"/>
  <c r="N247" i="1" s="1"/>
  <c r="N244" i="3"/>
  <c r="I214" i="1"/>
  <c r="K214" i="1" s="1"/>
  <c r="L185" i="7"/>
  <c r="N185" i="7" s="1"/>
  <c r="N187" i="7"/>
  <c r="K519" i="1"/>
  <c r="K518" i="1"/>
  <c r="K515" i="1"/>
  <c r="K513" i="1"/>
  <c r="K514" i="1"/>
  <c r="K516" i="1"/>
  <c r="J490" i="1"/>
  <c r="K21" i="15"/>
  <c r="I10" i="15"/>
  <c r="K10" i="15" s="1"/>
  <c r="L71" i="14"/>
  <c r="L444" i="15"/>
  <c r="N444" i="15" s="1"/>
  <c r="N446" i="15"/>
  <c r="L129" i="14"/>
  <c r="N129" i="14" s="1"/>
  <c r="N131" i="14"/>
  <c r="L71" i="13"/>
  <c r="K312" i="15"/>
  <c r="L490" i="11"/>
  <c r="N490" i="11" s="1"/>
  <c r="N492" i="11"/>
  <c r="L426" i="11"/>
  <c r="N426" i="11" s="1"/>
  <c r="N428" i="11"/>
  <c r="K344" i="11"/>
  <c r="I330" i="11"/>
  <c r="K330" i="11" s="1"/>
  <c r="L330" i="12"/>
  <c r="N330" i="12" s="1"/>
  <c r="N332" i="12"/>
  <c r="K20" i="12"/>
  <c r="I9" i="12"/>
  <c r="K9" i="12" s="1"/>
  <c r="L244" i="13"/>
  <c r="N247" i="13"/>
  <c r="L457" i="12"/>
  <c r="N457" i="12" s="1"/>
  <c r="N459" i="12"/>
  <c r="N146" i="11"/>
  <c r="L144" i="11"/>
  <c r="N144" i="11" s="1"/>
  <c r="I32" i="1"/>
  <c r="K32" i="1" s="1"/>
  <c r="K32" i="9"/>
  <c r="L114" i="8"/>
  <c r="N114" i="8" s="1"/>
  <c r="N116" i="8"/>
  <c r="L116" i="1"/>
  <c r="N116" i="1" s="1"/>
  <c r="J390" i="7"/>
  <c r="K390" i="7" s="1"/>
  <c r="K391" i="7"/>
  <c r="N332" i="14"/>
  <c r="L330" i="14"/>
  <c r="N330" i="14" s="1"/>
  <c r="K129" i="11"/>
  <c r="I129" i="1"/>
  <c r="K129" i="1" s="1"/>
  <c r="M244" i="9"/>
  <c r="N247" i="9"/>
  <c r="N9" i="13"/>
  <c r="N299" i="12"/>
  <c r="L296" i="12"/>
  <c r="N296" i="12" s="1"/>
  <c r="L426" i="8"/>
  <c r="N426" i="8" s="1"/>
  <c r="N428" i="8"/>
  <c r="K344" i="8"/>
  <c r="I330" i="8"/>
  <c r="K330" i="8" s="1"/>
  <c r="L228" i="6"/>
  <c r="N228" i="6" s="1"/>
  <c r="N230" i="6"/>
  <c r="J311" i="12"/>
  <c r="J297" i="12" s="1"/>
  <c r="K297" i="12" s="1"/>
  <c r="L89" i="12"/>
  <c r="N89" i="12" s="1"/>
  <c r="N91" i="12"/>
  <c r="L330" i="11"/>
  <c r="N330" i="11" s="1"/>
  <c r="N332" i="11"/>
  <c r="N247" i="11"/>
  <c r="L244" i="11"/>
  <c r="I144" i="12"/>
  <c r="K144" i="12" s="1"/>
  <c r="K149" i="12"/>
  <c r="L490" i="7"/>
  <c r="N490" i="7" s="1"/>
  <c r="N492" i="7"/>
  <c r="L244" i="7"/>
  <c r="N247" i="7"/>
  <c r="K52" i="9"/>
  <c r="I52" i="1"/>
  <c r="K52" i="1" s="1"/>
  <c r="L444" i="4"/>
  <c r="N444" i="4" s="1"/>
  <c r="N446" i="4"/>
  <c r="K490" i="2"/>
  <c r="I490" i="1"/>
  <c r="N475" i="13"/>
  <c r="L473" i="13"/>
  <c r="N473" i="13" s="1"/>
  <c r="N278" i="13"/>
  <c r="L275" i="13"/>
  <c r="N275" i="13" s="1"/>
  <c r="L426" i="10"/>
  <c r="N426" i="10" s="1"/>
  <c r="N428" i="10"/>
  <c r="K325" i="6"/>
  <c r="J410" i="1"/>
  <c r="K245" i="4"/>
  <c r="J245" i="1"/>
  <c r="K74" i="2"/>
  <c r="I74" i="1"/>
  <c r="K74" i="1" s="1"/>
  <c r="I101" i="1"/>
  <c r="K101" i="1" s="1"/>
  <c r="L350" i="10"/>
  <c r="N350" i="10" s="1"/>
  <c r="N352" i="10"/>
  <c r="L350" i="5"/>
  <c r="N350" i="5" s="1"/>
  <c r="N352" i="5"/>
  <c r="L185" i="4"/>
  <c r="N187" i="4"/>
  <c r="I330" i="3"/>
  <c r="K344" i="3"/>
  <c r="I344" i="1"/>
  <c r="K344" i="1" s="1"/>
  <c r="J321" i="1"/>
  <c r="K321" i="1" s="1"/>
  <c r="K144" i="2"/>
  <c r="N91" i="14"/>
  <c r="L89" i="14"/>
  <c r="N89" i="14" s="1"/>
  <c r="K325" i="13"/>
  <c r="J311" i="4"/>
  <c r="J297" i="4" s="1"/>
  <c r="K297" i="4" s="1"/>
  <c r="N114" i="4"/>
  <c r="K270" i="3"/>
  <c r="I244" i="3"/>
  <c r="K244" i="3" s="1"/>
  <c r="K488" i="1"/>
  <c r="K350" i="2"/>
  <c r="I350" i="1"/>
  <c r="K350" i="1" s="1"/>
  <c r="K21" i="2"/>
  <c r="I10" i="2"/>
  <c r="I21" i="1"/>
  <c r="K21" i="1" s="1"/>
  <c r="K507" i="1"/>
  <c r="N477" i="1"/>
  <c r="I369" i="1"/>
  <c r="K369" i="1" s="1"/>
  <c r="K21" i="3"/>
  <c r="I10" i="3"/>
  <c r="K10" i="3" s="1"/>
  <c r="N74" i="8"/>
  <c r="M74" i="1"/>
  <c r="L426" i="5"/>
  <c r="N426" i="5" s="1"/>
  <c r="N428" i="5"/>
  <c r="N201" i="5"/>
  <c r="L199" i="5"/>
  <c r="N199" i="5" s="1"/>
  <c r="K21" i="5"/>
  <c r="I10" i="5"/>
  <c r="K10" i="5" s="1"/>
  <c r="K360" i="2"/>
  <c r="I360" i="1"/>
  <c r="K360" i="1" s="1"/>
  <c r="K296" i="2"/>
  <c r="I296" i="1"/>
  <c r="K296" i="1" s="1"/>
  <c r="K235" i="1"/>
  <c r="I33" i="1"/>
  <c r="K33" i="1" s="1"/>
  <c r="N475" i="5"/>
  <c r="L473" i="5"/>
  <c r="N473" i="5" s="1"/>
  <c r="L475" i="1"/>
  <c r="K276" i="4"/>
  <c r="I276" i="1"/>
  <c r="K276" i="1" s="1"/>
  <c r="M296" i="1"/>
  <c r="N296" i="3"/>
  <c r="M299" i="1"/>
  <c r="L131" i="1"/>
  <c r="N131" i="1" s="1"/>
  <c r="I169" i="1"/>
  <c r="K169" i="1" s="1"/>
  <c r="M428" i="1"/>
  <c r="I311" i="1"/>
  <c r="L244" i="15"/>
  <c r="N247" i="15"/>
  <c r="K270" i="13"/>
  <c r="I244" i="13"/>
  <c r="K244" i="13" s="1"/>
  <c r="N131" i="12"/>
  <c r="L129" i="12"/>
  <c r="N129" i="12" s="1"/>
  <c r="I144" i="8"/>
  <c r="K144" i="8" s="1"/>
  <c r="K149" i="8"/>
  <c r="I149" i="1"/>
  <c r="K149" i="1" s="1"/>
  <c r="L444" i="7"/>
  <c r="N444" i="7" s="1"/>
  <c r="N446" i="7"/>
  <c r="N247" i="14"/>
  <c r="L244" i="14"/>
  <c r="L350" i="12"/>
  <c r="N350" i="12" s="1"/>
  <c r="N352" i="12"/>
  <c r="L52" i="11"/>
  <c r="N54" i="11"/>
  <c r="N32" i="10"/>
  <c r="K149" i="13"/>
  <c r="I144" i="13"/>
  <c r="K144" i="13" s="1"/>
  <c r="L228" i="7"/>
  <c r="N228" i="7" s="1"/>
  <c r="N230" i="7"/>
  <c r="K228" i="3"/>
  <c r="I228" i="1"/>
  <c r="I9" i="5"/>
  <c r="K9" i="5" s="1"/>
  <c r="K20" i="5"/>
  <c r="N73" i="2"/>
  <c r="L73" i="1"/>
  <c r="N73" i="1" s="1"/>
  <c r="L71" i="2"/>
  <c r="N299" i="13"/>
  <c r="L296" i="13"/>
  <c r="N296" i="13" s="1"/>
  <c r="N76" i="6"/>
  <c r="L74" i="6"/>
  <c r="N74" i="6" s="1"/>
  <c r="N146" i="5"/>
  <c r="L144" i="5"/>
  <c r="L146" i="1"/>
  <c r="N146" i="1" s="1"/>
  <c r="L296" i="9"/>
  <c r="N299" i="9"/>
  <c r="K265" i="2"/>
  <c r="I265" i="1"/>
  <c r="K265" i="1" s="1"/>
  <c r="L278" i="1"/>
  <c r="N278" i="1" s="1"/>
  <c r="L89" i="8"/>
  <c r="N89" i="8" s="1"/>
  <c r="N91" i="8"/>
  <c r="L91" i="1"/>
  <c r="N91" i="1" s="1"/>
  <c r="N201" i="6"/>
  <c r="L199" i="6"/>
  <c r="N199" i="6" s="1"/>
  <c r="K377" i="2"/>
  <c r="I377" i="1"/>
  <c r="K377" i="1" s="1"/>
  <c r="L129" i="15"/>
  <c r="N129" i="15" s="1"/>
  <c r="N131" i="15"/>
  <c r="N76" i="15"/>
  <c r="L74" i="15"/>
  <c r="N74" i="15" s="1"/>
  <c r="N296" i="15"/>
  <c r="I330" i="14"/>
  <c r="K330" i="14" s="1"/>
  <c r="K344" i="14"/>
  <c r="L89" i="11"/>
  <c r="N89" i="11" s="1"/>
  <c r="N91" i="11"/>
  <c r="N73" i="9"/>
  <c r="L71" i="9"/>
  <c r="K21" i="6"/>
  <c r="I10" i="6"/>
  <c r="K10" i="6" s="1"/>
  <c r="N492" i="12"/>
  <c r="L490" i="12"/>
  <c r="N490" i="12" s="1"/>
  <c r="L444" i="10"/>
  <c r="N444" i="10" s="1"/>
  <c r="N446" i="10"/>
  <c r="I9" i="10"/>
  <c r="K9" i="10" s="1"/>
  <c r="K20" i="10"/>
  <c r="L330" i="7"/>
  <c r="N330" i="7" s="1"/>
  <c r="N332" i="7"/>
  <c r="N73" i="12"/>
  <c r="L71" i="12"/>
  <c r="K270" i="9"/>
  <c r="I244" i="9"/>
  <c r="K244" i="9" s="1"/>
  <c r="M275" i="5"/>
  <c r="N278" i="5"/>
  <c r="I457" i="1"/>
  <c r="K457" i="1" s="1"/>
  <c r="K245" i="7"/>
  <c r="N9" i="14"/>
  <c r="L71" i="11"/>
  <c r="L350" i="8"/>
  <c r="N350" i="8" s="1"/>
  <c r="N352" i="8"/>
  <c r="J259" i="1"/>
  <c r="N9" i="4"/>
  <c r="L350" i="3"/>
  <c r="N352" i="3"/>
  <c r="L352" i="1"/>
  <c r="N352" i="1" s="1"/>
  <c r="I297" i="1"/>
  <c r="N201" i="10"/>
  <c r="L199" i="10"/>
  <c r="N199" i="10" s="1"/>
  <c r="N299" i="8"/>
  <c r="L296" i="8"/>
  <c r="N296" i="8" s="1"/>
  <c r="L71" i="4"/>
  <c r="N89" i="2"/>
  <c r="I275" i="1"/>
  <c r="K275" i="1" s="1"/>
  <c r="K321" i="5"/>
  <c r="M457" i="4"/>
  <c r="N459" i="4"/>
  <c r="L490" i="10"/>
  <c r="N490" i="10" s="1"/>
  <c r="N492" i="10"/>
  <c r="K267" i="5"/>
  <c r="I267" i="1"/>
  <c r="K267" i="1" s="1"/>
  <c r="N201" i="4"/>
  <c r="L199" i="4"/>
  <c r="L201" i="1"/>
  <c r="N201" i="1" s="1"/>
  <c r="M457" i="2"/>
  <c r="M459" i="1"/>
  <c r="I444" i="1"/>
  <c r="K444" i="1" s="1"/>
  <c r="K325" i="2"/>
  <c r="N201" i="15"/>
  <c r="L199" i="15"/>
  <c r="N199" i="15" s="1"/>
  <c r="N299" i="14"/>
  <c r="L296" i="14"/>
  <c r="N296" i="14" s="1"/>
  <c r="M426" i="14"/>
  <c r="N428" i="14"/>
  <c r="L185" i="14"/>
  <c r="N185" i="14" s="1"/>
  <c r="N187" i="14"/>
  <c r="L101" i="11"/>
  <c r="N101" i="11" s="1"/>
  <c r="N103" i="11"/>
  <c r="M457" i="15"/>
  <c r="N457" i="15" s="1"/>
  <c r="N459" i="15"/>
  <c r="L52" i="12"/>
  <c r="N54" i="12"/>
  <c r="L275" i="15"/>
  <c r="N275" i="15" s="1"/>
  <c r="N278" i="15"/>
  <c r="N247" i="12"/>
  <c r="L244" i="12"/>
  <c r="K312" i="7"/>
  <c r="K312" i="14"/>
  <c r="J311" i="14"/>
  <c r="M473" i="12"/>
  <c r="N475" i="12"/>
  <c r="L114" i="12"/>
  <c r="N114" i="12" s="1"/>
  <c r="N116" i="12"/>
  <c r="N459" i="11"/>
  <c r="L457" i="11"/>
  <c r="N457" i="11" s="1"/>
  <c r="N76" i="10"/>
  <c r="L74" i="10"/>
  <c r="N74" i="10" s="1"/>
  <c r="N428" i="13"/>
  <c r="L426" i="13"/>
  <c r="N426" i="13" s="1"/>
  <c r="L101" i="12"/>
  <c r="N101" i="12" s="1"/>
  <c r="N103" i="12"/>
  <c r="L444" i="11"/>
  <c r="N444" i="11" s="1"/>
  <c r="N446" i="11"/>
  <c r="K270" i="14"/>
  <c r="I244" i="14"/>
  <c r="K244" i="14" s="1"/>
  <c r="L296" i="10"/>
  <c r="N296" i="10" s="1"/>
  <c r="N299" i="10"/>
  <c r="L169" i="8"/>
  <c r="N169" i="8" s="1"/>
  <c r="N171" i="8"/>
  <c r="L101" i="8"/>
  <c r="N101" i="8" s="1"/>
  <c r="N103" i="8"/>
  <c r="L103" i="1"/>
  <c r="N103" i="1" s="1"/>
  <c r="I10" i="7"/>
  <c r="K10" i="7" s="1"/>
  <c r="K21" i="7"/>
  <c r="N76" i="13"/>
  <c r="L74" i="13"/>
  <c r="N74" i="13" s="1"/>
  <c r="I68" i="12"/>
  <c r="K68" i="12" s="1"/>
  <c r="K129" i="12"/>
  <c r="L444" i="9"/>
  <c r="N444" i="9" s="1"/>
  <c r="N446" i="9"/>
  <c r="L330" i="8"/>
  <c r="N330" i="8" s="1"/>
  <c r="N332" i="8"/>
  <c r="K325" i="7"/>
  <c r="N275" i="6"/>
  <c r="L71" i="6"/>
  <c r="N201" i="11"/>
  <c r="L199" i="11"/>
  <c r="N199" i="11" s="1"/>
  <c r="K21" i="10"/>
  <c r="I10" i="10"/>
  <c r="K10" i="10" s="1"/>
  <c r="N146" i="9"/>
  <c r="L144" i="9"/>
  <c r="N144" i="9" s="1"/>
  <c r="L490" i="6"/>
  <c r="N490" i="6" s="1"/>
  <c r="N492" i="6"/>
  <c r="L444" i="6"/>
  <c r="N444" i="6" s="1"/>
  <c r="N446" i="6"/>
  <c r="K270" i="6"/>
  <c r="I244" i="6"/>
  <c r="K244" i="6" s="1"/>
  <c r="K228" i="5"/>
  <c r="N73" i="3"/>
  <c r="L71" i="3"/>
  <c r="K504" i="1"/>
  <c r="K508" i="1"/>
  <c r="L444" i="2"/>
  <c r="N446" i="2"/>
  <c r="L446" i="1"/>
  <c r="N446" i="1" s="1"/>
  <c r="N54" i="13"/>
  <c r="L52" i="13"/>
  <c r="N52" i="13" s="1"/>
  <c r="N459" i="10"/>
  <c r="L457" i="10"/>
  <c r="N457" i="10" s="1"/>
  <c r="L330" i="9"/>
  <c r="N330" i="9" s="1"/>
  <c r="N332" i="9"/>
  <c r="K63" i="9"/>
  <c r="I63" i="1"/>
  <c r="K63" i="1" s="1"/>
  <c r="M475" i="1"/>
  <c r="M473" i="8"/>
  <c r="L444" i="5"/>
  <c r="N444" i="5" s="1"/>
  <c r="N446" i="5"/>
  <c r="N76" i="4"/>
  <c r="L74" i="4"/>
  <c r="N74" i="4" s="1"/>
  <c r="L426" i="3"/>
  <c r="N426" i="3" s="1"/>
  <c r="N428" i="3"/>
  <c r="L428" i="1"/>
  <c r="N428" i="1" s="1"/>
  <c r="I9" i="3"/>
  <c r="K9" i="3" s="1"/>
  <c r="K20" i="3"/>
  <c r="K523" i="1"/>
  <c r="L330" i="2"/>
  <c r="N332" i="2"/>
  <c r="L332" i="1"/>
  <c r="N332" i="1" s="1"/>
  <c r="I426" i="1"/>
  <c r="K426" i="1" s="1"/>
  <c r="I245" i="1"/>
  <c r="K245" i="1" s="1"/>
  <c r="L9" i="1"/>
  <c r="N9" i="1" s="1"/>
  <c r="J311" i="2"/>
  <c r="K325" i="11"/>
  <c r="I244" i="8"/>
  <c r="K244" i="8" s="1"/>
  <c r="K270" i="8"/>
  <c r="M457" i="6"/>
  <c r="N459" i="6"/>
  <c r="I9" i="6"/>
  <c r="K9" i="6" s="1"/>
  <c r="K20" i="6"/>
  <c r="N244" i="5"/>
  <c r="K325" i="4"/>
  <c r="I325" i="1"/>
  <c r="M444" i="2"/>
  <c r="M444" i="1" s="1"/>
  <c r="M446" i="1"/>
  <c r="N494" i="1"/>
  <c r="L299" i="1"/>
  <c r="L187" i="1"/>
  <c r="N187" i="1" s="1"/>
  <c r="N54" i="5"/>
  <c r="L52" i="5"/>
  <c r="L32" i="1"/>
  <c r="N32" i="1" s="1"/>
  <c r="N32" i="4"/>
  <c r="K270" i="2"/>
  <c r="I270" i="1"/>
  <c r="K270" i="1" s="1"/>
  <c r="I244" i="2"/>
  <c r="J316" i="1"/>
  <c r="K316" i="1" s="1"/>
  <c r="K316" i="4"/>
  <c r="L228" i="4"/>
  <c r="N228" i="4" s="1"/>
  <c r="L230" i="1"/>
  <c r="N230" i="1" s="1"/>
  <c r="N230" i="4"/>
  <c r="K368" i="2"/>
  <c r="I368" i="1"/>
  <c r="K368" i="1" s="1"/>
  <c r="I9" i="2"/>
  <c r="K20" i="2"/>
  <c r="I20" i="1"/>
  <c r="K20" i="1" s="1"/>
  <c r="L171" i="1"/>
  <c r="N171" i="1" s="1"/>
  <c r="N459" i="7"/>
  <c r="L459" i="1"/>
  <c r="N459" i="1" s="1"/>
  <c r="L457" i="7"/>
  <c r="N457" i="7" s="1"/>
  <c r="N299" i="6"/>
  <c r="N76" i="5"/>
  <c r="L74" i="5"/>
  <c r="N74" i="5" s="1"/>
  <c r="N129" i="2"/>
  <c r="I418" i="1"/>
  <c r="K418" i="1" s="1"/>
  <c r="M426" i="1"/>
  <c r="I199" i="1"/>
  <c r="K199" i="1" s="1"/>
  <c r="K311" i="7" l="1"/>
  <c r="K311" i="11"/>
  <c r="K311" i="15"/>
  <c r="K311" i="6"/>
  <c r="K311" i="3"/>
  <c r="N71" i="8"/>
  <c r="K311" i="8"/>
  <c r="L68" i="7"/>
  <c r="L6" i="7" s="1"/>
  <c r="N6" i="7" s="1"/>
  <c r="N71" i="15"/>
  <c r="K311" i="12"/>
  <c r="K311" i="5"/>
  <c r="J297" i="9"/>
  <c r="K297" i="9" s="1"/>
  <c r="K311" i="9"/>
  <c r="K311" i="13"/>
  <c r="K311" i="10"/>
  <c r="L129" i="1"/>
  <c r="N129" i="1" s="1"/>
  <c r="L242" i="3"/>
  <c r="N242" i="3" s="1"/>
  <c r="K228" i="1"/>
  <c r="L242" i="5"/>
  <c r="N242" i="5" s="1"/>
  <c r="L228" i="1"/>
  <c r="N228" i="1" s="1"/>
  <c r="L114" i="1"/>
  <c r="N114" i="1" s="1"/>
  <c r="N214" i="3"/>
  <c r="L214" i="1"/>
  <c r="N214" i="1" s="1"/>
  <c r="L330" i="1"/>
  <c r="N330" i="1" s="1"/>
  <c r="N330" i="2"/>
  <c r="L242" i="2"/>
  <c r="N144" i="5"/>
  <c r="L144" i="1"/>
  <c r="N144" i="1" s="1"/>
  <c r="L74" i="1"/>
  <c r="N74" i="1" s="1"/>
  <c r="L242" i="10"/>
  <c r="M242" i="6"/>
  <c r="N457" i="6"/>
  <c r="J297" i="2"/>
  <c r="J311" i="1"/>
  <c r="K311" i="1" s="1"/>
  <c r="K311" i="2"/>
  <c r="N244" i="12"/>
  <c r="L242" i="12"/>
  <c r="L296" i="1"/>
  <c r="N296" i="1" s="1"/>
  <c r="L68" i="4"/>
  <c r="N71" i="4"/>
  <c r="N71" i="12"/>
  <c r="L68" i="12"/>
  <c r="N68" i="12" s="1"/>
  <c r="L426" i="1"/>
  <c r="N426" i="1" s="1"/>
  <c r="N475" i="1"/>
  <c r="N185" i="4"/>
  <c r="L185" i="1"/>
  <c r="N185" i="1" s="1"/>
  <c r="N244" i="11"/>
  <c r="L242" i="11"/>
  <c r="N242" i="11" s="1"/>
  <c r="L68" i="14"/>
  <c r="N71" i="14"/>
  <c r="L457" i="1"/>
  <c r="N457" i="1" s="1"/>
  <c r="K244" i="2"/>
  <c r="I244" i="1"/>
  <c r="K244" i="1" s="1"/>
  <c r="N299" i="1"/>
  <c r="K325" i="1"/>
  <c r="N71" i="3"/>
  <c r="L68" i="3"/>
  <c r="N68" i="3" s="1"/>
  <c r="J297" i="14"/>
  <c r="K297" i="14" s="1"/>
  <c r="K311" i="14"/>
  <c r="N52" i="12"/>
  <c r="N426" i="14"/>
  <c r="M242" i="14"/>
  <c r="N350" i="3"/>
  <c r="L350" i="1"/>
  <c r="N350" i="1" s="1"/>
  <c r="N275" i="5"/>
  <c r="M242" i="5"/>
  <c r="M275" i="1"/>
  <c r="N71" i="9"/>
  <c r="L68" i="9"/>
  <c r="N68" i="9" s="1"/>
  <c r="L473" i="1"/>
  <c r="N296" i="9"/>
  <c r="L242" i="9"/>
  <c r="L68" i="2"/>
  <c r="L71" i="1"/>
  <c r="N71" i="1" s="1"/>
  <c r="N71" i="2"/>
  <c r="M242" i="15"/>
  <c r="M242" i="2"/>
  <c r="I144" i="1"/>
  <c r="K144" i="1" s="1"/>
  <c r="N244" i="7"/>
  <c r="L242" i="7"/>
  <c r="N242" i="7" s="1"/>
  <c r="I68" i="1"/>
  <c r="K68" i="1" s="1"/>
  <c r="L242" i="13"/>
  <c r="N242" i="13" s="1"/>
  <c r="N244" i="13"/>
  <c r="N71" i="5"/>
  <c r="L68" i="5"/>
  <c r="N68" i="5" s="1"/>
  <c r="N275" i="8"/>
  <c r="L275" i="1"/>
  <c r="N275" i="1" s="1"/>
  <c r="L242" i="8"/>
  <c r="K311" i="4"/>
  <c r="N71" i="10"/>
  <c r="L68" i="10"/>
  <c r="N457" i="4"/>
  <c r="M242" i="4"/>
  <c r="N71" i="11"/>
  <c r="L68" i="11"/>
  <c r="N68" i="11" s="1"/>
  <c r="L242" i="14"/>
  <c r="N244" i="14"/>
  <c r="N244" i="15"/>
  <c r="L242" i="15"/>
  <c r="N244" i="4"/>
  <c r="L242" i="4"/>
  <c r="N242" i="4" s="1"/>
  <c r="I9" i="1"/>
  <c r="K9" i="1" s="1"/>
  <c r="K9" i="2"/>
  <c r="L68" i="6"/>
  <c r="N71" i="6"/>
  <c r="M242" i="12"/>
  <c r="N473" i="12"/>
  <c r="M457" i="1"/>
  <c r="N457" i="2"/>
  <c r="N52" i="11"/>
  <c r="N244" i="9"/>
  <c r="M242" i="9"/>
  <c r="M244" i="1"/>
  <c r="N52" i="9"/>
  <c r="N275" i="10"/>
  <c r="M242" i="10"/>
  <c r="N52" i="8"/>
  <c r="L6" i="8"/>
  <c r="N6" i="8" s="1"/>
  <c r="L169" i="1"/>
  <c r="N169" i="1" s="1"/>
  <c r="L101" i="1"/>
  <c r="N101" i="1" s="1"/>
  <c r="N52" i="5"/>
  <c r="M242" i="8"/>
  <c r="M473" i="1"/>
  <c r="N444" i="2"/>
  <c r="L444" i="1"/>
  <c r="N444" i="1" s="1"/>
  <c r="L242" i="6"/>
  <c r="N199" i="4"/>
  <c r="L199" i="1"/>
  <c r="N199" i="1" s="1"/>
  <c r="L89" i="1"/>
  <c r="N89" i="1" s="1"/>
  <c r="L490" i="1"/>
  <c r="N490" i="1" s="1"/>
  <c r="K10" i="2"/>
  <c r="I10" i="1"/>
  <c r="K10" i="1" s="1"/>
  <c r="K330" i="3"/>
  <c r="I330" i="1"/>
  <c r="K330" i="1" s="1"/>
  <c r="K490" i="1"/>
  <c r="L68" i="13"/>
  <c r="N68" i="13" s="1"/>
  <c r="N71" i="13"/>
  <c r="L244" i="1"/>
  <c r="L6" i="15"/>
  <c r="N6" i="15" s="1"/>
  <c r="N52" i="3"/>
  <c r="L52" i="1"/>
  <c r="N52" i="1" s="1"/>
  <c r="J390" i="1"/>
  <c r="K390" i="1" s="1"/>
  <c r="N68" i="7" l="1"/>
  <c r="L6" i="3"/>
  <c r="N6" i="3" s="1"/>
  <c r="L6" i="11"/>
  <c r="N6" i="11" s="1"/>
  <c r="L6" i="5"/>
  <c r="N6" i="5" s="1"/>
  <c r="N68" i="10"/>
  <c r="L6" i="10"/>
  <c r="N6" i="10" s="1"/>
  <c r="N242" i="9"/>
  <c r="N242" i="10"/>
  <c r="N242" i="2"/>
  <c r="L242" i="1"/>
  <c r="N242" i="1" s="1"/>
  <c r="M242" i="1"/>
  <c r="N68" i="4"/>
  <c r="L6" i="4"/>
  <c r="N6" i="4" s="1"/>
  <c r="L6" i="13"/>
  <c r="N6" i="13" s="1"/>
  <c r="L6" i="9"/>
  <c r="N6" i="9" s="1"/>
  <c r="N68" i="6"/>
  <c r="L6" i="6"/>
  <c r="N6" i="6" s="1"/>
  <c r="N242" i="14"/>
  <c r="L6" i="12"/>
  <c r="N6" i="12" s="1"/>
  <c r="N68" i="14"/>
  <c r="L6" i="14"/>
  <c r="N6" i="14" s="1"/>
  <c r="N242" i="12"/>
  <c r="J297" i="1"/>
  <c r="K297" i="1" s="1"/>
  <c r="K297" i="2"/>
  <c r="N68" i="2"/>
  <c r="L6" i="2"/>
  <c r="L68" i="1"/>
  <c r="N68" i="1" s="1"/>
  <c r="N242" i="6"/>
  <c r="N244" i="1"/>
  <c r="N242" i="15"/>
  <c r="N242" i="8"/>
  <c r="N473" i="1"/>
  <c r="N6" i="2" l="1"/>
  <c r="L6" i="1"/>
  <c r="N6" i="1" s="1"/>
</calcChain>
</file>

<file path=xl/sharedStrings.xml><?xml version="1.0" encoding="utf-8"?>
<sst xmlns="http://schemas.openxmlformats.org/spreadsheetml/2006/main" count="15000" uniqueCount="237">
  <si>
    <t>รายละเอียดแผนงาน/โครงการ ผลผลิต/กิจกรรม ปีงบประมาณ พ.ศ. 2565</t>
  </si>
  <si>
    <t>ภาคใต้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</si>
  <si>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</si>
  <si>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</si>
  <si>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</si>
  <si>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</si>
  <si>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</si>
  <si>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</si>
  <si>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</si>
  <si>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</si>
  <si>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</si>
  <si>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</si>
  <si>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</si>
  <si>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</si>
  <si>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</si>
  <si>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</si>
  <si>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</si>
  <si>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</si>
  <si>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</si>
  <si>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</si>
  <si>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</si>
  <si>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</si>
  <si>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</si>
  <si>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</si>
  <si>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</si>
  <si>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</si>
  <si>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</si>
  <si>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</si>
  <si>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</si>
  <si>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</si>
  <si>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</si>
  <si>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</si>
  <si>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</si>
  <si>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</si>
  <si>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</si>
  <si>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</si>
  <si>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</si>
  <si>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</si>
  <si>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</si>
  <si>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</si>
  <si>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</si>
  <si>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</si>
  <si>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</si>
  <si>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</si>
  <si>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</si>
  <si>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</si>
  <si>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</si>
  <si>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</si>
  <si>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</si>
  <si>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
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</si>
  <si>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</si>
  <si>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</si>
  <si>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</si>
  <si>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</si>
  <si>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</si>
  <si>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</si>
  <si>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</si>
  <si>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</si>
  <si>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</si>
  <si>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</si>
  <si>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</si>
  <si>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</si>
  <si>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</si>
  <si>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</si>
  <si>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</si>
  <si>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</si>
  <si>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</si>
  <si>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</si>
  <si>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</si>
  <si>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</si>
  <si>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</si>
  <si>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</si>
  <si>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</si>
  <si>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</si>
  <si>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</si>
  <si>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</si>
  <si>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</si>
  <si>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</si>
  <si>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</si>
  <si>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</si>
  <si>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</si>
  <si>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</si>
  <si>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</si>
  <si>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</si>
  <si>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</si>
  <si>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</si>
  <si>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</si>
  <si>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</si>
  <si>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</si>
  <si>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</si>
  <si>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</si>
  <si>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</si>
  <si>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</si>
  <si>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</si>
  <si>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</si>
  <si>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</si>
  <si>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</si>
  <si>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</si>
  <si>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</si>
  <si>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</si>
  <si>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</si>
  <si>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</si>
  <si>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</si>
  <si>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</si>
  <si>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</si>
  <si>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</si>
  <si>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</si>
  <si>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</si>
  <si>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</si>
  <si>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</si>
  <si>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</si>
  <si>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</si>
  <si>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</si>
  <si>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</si>
  <si>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</si>
  <si>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</si>
  <si>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</si>
  <si>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</si>
  <si>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</si>
  <si>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 xml:space="preserve"> 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</si>
  <si>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</si>
  <si>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</si>
  <si>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</si>
  <si>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</si>
  <si>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</si>
  <si>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</si>
  <si>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</si>
  <si>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</si>
  <si>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</si>
  <si>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</si>
  <si>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</si>
  <si>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</si>
  <si>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</si>
  <si>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</si>
  <si>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</si>
  <si>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</si>
  <si>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</si>
  <si>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</si>
  <si>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</si>
  <si>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</si>
  <si>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</si>
  <si>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</si>
  <si>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</si>
  <si>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</si>
  <si>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</si>
  <si>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</si>
  <si>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</si>
  <si>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</si>
  <si>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</si>
  <si>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</si>
  <si>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</si>
  <si>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</si>
  <si>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</si>
  <si>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</si>
  <si>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</si>
  <si>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</si>
  <si>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</si>
  <si>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</si>
  <si>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</si>
  <si>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</si>
  <si>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</si>
  <si>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</si>
  <si>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</si>
  <si>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</si>
  <si>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</si>
  <si>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</si>
  <si>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</si>
  <si>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</si>
  <si>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</si>
  <si>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</si>
  <si>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</si>
  <si>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</si>
  <si>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</si>
  <si>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</si>
  <si>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</si>
  <si>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</si>
  <si>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</si>
  <si>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</si>
  <si>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</si>
  <si>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</si>
  <si>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</si>
  <si>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</si>
  <si>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</si>
  <si>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</si>
  <si>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</si>
  <si>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</si>
  <si>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</si>
  <si>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</si>
  <si>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</si>
  <si>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</si>
  <si>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</si>
  <si>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</si>
  <si>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</si>
  <si>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</si>
  <si>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</si>
  <si>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</si>
  <si>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</si>
  <si>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</si>
  <si>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</si>
  <si>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</si>
  <si>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</si>
  <si>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</si>
  <si>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</si>
  <si>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</si>
  <si>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</si>
  <si>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</si>
  <si>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</si>
  <si>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</si>
  <si>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</si>
  <si>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</si>
  <si>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</si>
  <si>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</si>
  <si>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</si>
  <si>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</si>
  <si>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</si>
  <si>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</si>
  <si>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</si>
  <si>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</si>
  <si>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</si>
  <si>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</si>
  <si>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สำนักงานการปฏิรูปที่ดินจังหวัด ชุมพร</t>
  </si>
  <si>
    <t>ไร่่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</si>
  <si>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</si>
  <si>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</si>
  <si>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 xml:space="preserve">(5) โครงการพัฒนาพื้นที่ลุ่มน้ำปากพนังอันเนื่องมาจากพระราชดำริ </t>
  </si>
  <si>
    <t>สำนักงานการปฏิรูปที่ดินจังหวัด นราธิวาส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</si>
  <si>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</si>
  <si>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</si>
  <si>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ปัตตานี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</si>
  <si>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</si>
  <si>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</si>
  <si>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</si>
  <si>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</si>
  <si>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ระนอง</t>
  </si>
  <si>
    <t>สำนักงานการปฏิรูปที่ดินจังหวัด สุราษฎร์ธานี</t>
  </si>
  <si>
    <t>ข้อมูล ณ วันที่ 15 ธันวาคม 2564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</si>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</sst>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0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430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0" fontId="1" fillId="8" borderId="12" xfId="0" applyFont="1" applyFill="1" applyBorder="1" applyAlignment="1">
      <alignment horizontal="left"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horizontal="left"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horizontal="left"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horizontal="left"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horizontal="left"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3" borderId="13" xfId="0" applyNumberFormat="1" applyFont="1" applyFill="1" applyBorder="1" applyAlignment="1">
      <alignment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1" fillId="10" borderId="19" xfId="0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90" fontId="1" fillId="10" borderId="19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horizontal="left"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horizontal="left"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horizontal="left"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horizontal="left"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horizontal="left"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horizontal="left"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horizontal="left"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horizontal="left"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horizontal="left"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horizontal="left"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horizontal="left"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horizontal="left"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horizontal="left"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horizontal="left" vertical="center"/>
    </xf>
    <xf numFmtId="0" fontId="5" fillId="3" borderId="19" xfId="0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187" fontId="2" fillId="0" borderId="22" xfId="0" applyNumberFormat="1" applyFont="1" applyBorder="1" applyAlignment="1">
      <alignment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horizontal="left"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2" fillId="0" borderId="39" xfId="0" applyNumberFormat="1" applyFont="1" applyBorder="1" applyAlignment="1">
      <alignment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187" fontId="2" fillId="0" borderId="25" xfId="0" applyNumberFormat="1" applyFont="1" applyBorder="1" applyAlignment="1">
      <alignment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187" fontId="1" fillId="0" borderId="43" xfId="0" applyNumberFormat="1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89" fontId="2" fillId="0" borderId="28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8" fontId="2" fillId="0" borderId="45" xfId="0" applyNumberFormat="1" applyFont="1" applyBorder="1" applyAlignment="1">
      <alignment horizontal="right" vertical="center" wrapText="1"/>
    </xf>
    <xf numFmtId="188" fontId="2" fillId="0" borderId="45" xfId="0" applyNumberFormat="1" applyFont="1" applyBorder="1" applyAlignment="1">
      <alignment vertical="center"/>
    </xf>
    <xf numFmtId="189" fontId="1" fillId="22" borderId="17" xfId="0" applyNumberFormat="1" applyFont="1" applyFill="1" applyBorder="1" applyAlignment="1">
      <alignment horizontal="center" vertical="center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7" fontId="1" fillId="3" borderId="22" xfId="0" applyNumberFormat="1" applyFont="1" applyFill="1" applyBorder="1" applyAlignment="1">
      <alignment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horizontal="left"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horizontal="left"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187" fontId="3" fillId="3" borderId="22" xfId="0" applyNumberFormat="1" applyFont="1" applyFill="1" applyBorder="1" applyAlignment="1">
      <alignment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89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horizontal="left"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9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left" vertical="center"/>
    </xf>
    <xf numFmtId="187" fontId="1" fillId="3" borderId="46" xfId="0" applyNumberFormat="1" applyFont="1" applyFill="1" applyBorder="1" applyAlignment="1">
      <alignment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189" fontId="2" fillId="3" borderId="19" xfId="0" applyNumberFormat="1" applyFont="1" applyFill="1" applyBorder="1" applyAlignment="1">
      <alignment horizontal="right" vertical="center"/>
    </xf>
    <xf numFmtId="187" fontId="1" fillId="16" borderId="19" xfId="0" applyNumberFormat="1" applyFont="1" applyFill="1" applyBorder="1" applyAlignment="1">
      <alignment vertical="center"/>
    </xf>
    <xf numFmtId="189" fontId="2" fillId="2" borderId="1" xfId="0" applyNumberFormat="1" applyFont="1" applyFill="1" applyBorder="1" applyAlignment="1">
      <alignment horizontal="right" wrapText="1"/>
    </xf>
    <xf numFmtId="188" fontId="2" fillId="19" borderId="13" xfId="0" applyNumberFormat="1" applyFont="1" applyFill="1" applyBorder="1" applyAlignment="1">
      <alignment vertical="center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8" fontId="2" fillId="3" borderId="28" xfId="0" applyNumberFormat="1" applyFont="1" applyFill="1" applyBorder="1" applyAlignment="1">
      <alignment horizontal="center" vertical="center"/>
    </xf>
    <xf numFmtId="189" fontId="1" fillId="23" borderId="13" xfId="0" applyNumberFormat="1" applyFont="1" applyFill="1" applyBorder="1" applyAlignment="1">
      <alignment horizontal="right" wrapText="1"/>
    </xf>
    <xf numFmtId="189" fontId="1" fillId="2" borderId="13" xfId="0" applyNumberFormat="1" applyFont="1" applyFill="1" applyBorder="1" applyAlignment="1">
      <alignment horizontal="right" wrapText="1"/>
    </xf>
    <xf numFmtId="189" fontId="2" fillId="2" borderId="13" xfId="0" applyNumberFormat="1" applyFont="1" applyFill="1" applyBorder="1" applyAlignment="1">
      <alignment horizontal="right" wrapText="1"/>
    </xf>
    <xf numFmtId="189" fontId="1" fillId="3" borderId="13" xfId="0" applyNumberFormat="1" applyFont="1" applyFill="1" applyBorder="1" applyAlignment="1">
      <alignment horizontal="right" wrapText="1"/>
    </xf>
    <xf numFmtId="189" fontId="2" fillId="3" borderId="13" xfId="0" applyNumberFormat="1" applyFont="1" applyFill="1" applyBorder="1" applyAlignment="1">
      <alignment horizontal="right" wrapText="1"/>
    </xf>
    <xf numFmtId="189" fontId="2" fillId="23" borderId="13" xfId="0" applyNumberFormat="1" applyFont="1" applyFill="1" applyBorder="1" applyAlignment="1">
      <alignment horizontal="right" vertical="center" wrapText="1"/>
    </xf>
    <xf numFmtId="189" fontId="1" fillId="24" borderId="13" xfId="0" applyNumberFormat="1" applyFont="1" applyFill="1" applyBorder="1" applyAlignment="1">
      <alignment horizontal="right" vertical="center" wrapText="1"/>
    </xf>
    <xf numFmtId="188" fontId="1" fillId="24" borderId="13" xfId="0" applyNumberFormat="1" applyFont="1" applyFill="1" applyBorder="1" applyAlignment="1">
      <alignment horizontal="right" vertical="center" wrapText="1"/>
    </xf>
    <xf numFmtId="189" fontId="2" fillId="0" borderId="45" xfId="0" applyNumberFormat="1" applyFont="1" applyBorder="1" applyAlignment="1">
      <alignment horizontal="right" vertical="center" wrapText="1"/>
    </xf>
    <xf numFmtId="189" fontId="2" fillId="3" borderId="20" xfId="0" applyNumberFormat="1" applyFont="1" applyFill="1" applyBorder="1" applyAlignment="1">
      <alignment horizontal="right" vertical="center"/>
    </xf>
    <xf numFmtId="0" fontId="2" fillId="16" borderId="13" xfId="0" applyFont="1" applyFill="1" applyBorder="1" applyAlignment="1">
      <alignment horizontal="center" vertical="center"/>
    </xf>
    <xf numFmtId="189" fontId="1" fillId="16" borderId="23" xfId="0" applyNumberFormat="1" applyFont="1" applyFill="1" applyBorder="1" applyAlignment="1">
      <alignment horizontal="right" vertical="center" wrapText="1"/>
    </xf>
    <xf numFmtId="188" fontId="1" fillId="16" borderId="23" xfId="0" applyNumberFormat="1" applyFont="1" applyFill="1" applyBorder="1" applyAlignment="1">
      <alignment horizontal="right" vertical="center" wrapText="1"/>
    </xf>
    <xf numFmtId="0" fontId="2" fillId="16" borderId="41" xfId="0" applyFont="1" applyFill="1" applyBorder="1" applyAlignment="1">
      <alignment horizontal="center" vertical="center"/>
    </xf>
    <xf numFmtId="189" fontId="1" fillId="16" borderId="40" xfId="0" applyNumberFormat="1" applyFont="1" applyFill="1" applyBorder="1" applyAlignment="1">
      <alignment horizontal="right" vertical="center" wrapText="1"/>
    </xf>
    <xf numFmtId="188" fontId="1" fillId="16" borderId="40" xfId="0" applyNumberFormat="1" applyFont="1" applyFill="1" applyBorder="1" applyAlignment="1">
      <alignment horizontal="right" vertical="center" wrapText="1"/>
    </xf>
    <xf numFmtId="0" fontId="2" fillId="0" borderId="41" xfId="0" applyFont="1" applyBorder="1" applyAlignment="1">
      <alignment horizontal="center" vertical="center"/>
    </xf>
    <xf numFmtId="189" fontId="2" fillId="0" borderId="40" xfId="0" applyNumberFormat="1" applyFont="1" applyBorder="1" applyAlignment="1">
      <alignment vertical="center"/>
    </xf>
    <xf numFmtId="189" fontId="2" fillId="23" borderId="40" xfId="0" applyNumberFormat="1" applyFont="1" applyFill="1" applyBorder="1" applyAlignment="1">
      <alignment horizontal="right" vertical="center" wrapText="1"/>
    </xf>
    <xf numFmtId="188" fontId="2" fillId="23" borderId="40" xfId="0" applyNumberFormat="1" applyFont="1" applyFill="1" applyBorder="1" applyAlignment="1">
      <alignment vertical="center"/>
    </xf>
    <xf numFmtId="189" fontId="1" fillId="24" borderId="40" xfId="0" applyNumberFormat="1" applyFont="1" applyFill="1" applyBorder="1" applyAlignment="1">
      <alignment horizontal="right" vertical="center" wrapText="1"/>
    </xf>
    <xf numFmtId="188" fontId="1" fillId="24" borderId="40" xfId="0" applyNumberFormat="1" applyFont="1" applyFill="1" applyBorder="1" applyAlignment="1">
      <alignment horizontal="right" vertical="center" wrapText="1"/>
    </xf>
    <xf numFmtId="189" fontId="2" fillId="2" borderId="40" xfId="0" applyNumberFormat="1" applyFont="1" applyFill="1" applyBorder="1" applyAlignment="1">
      <alignment horizontal="right" vertical="center" wrapText="1"/>
    </xf>
    <xf numFmtId="188" fontId="2" fillId="0" borderId="40" xfId="0" applyNumberFormat="1" applyFont="1" applyBorder="1" applyAlignment="1">
      <alignment vertical="center"/>
    </xf>
    <xf numFmtId="0" fontId="2" fillId="0" borderId="49" xfId="0" applyFont="1" applyBorder="1" applyAlignment="1">
      <alignment horizontal="center" vertical="center"/>
    </xf>
    <xf numFmtId="189" fontId="2" fillId="0" borderId="51" xfId="0" applyNumberFormat="1" applyFont="1" applyBorder="1" applyAlignment="1">
      <alignment vertical="center"/>
    </xf>
    <xf numFmtId="189" fontId="2" fillId="2" borderId="50" xfId="0" applyNumberFormat="1" applyFont="1" applyFill="1" applyBorder="1" applyAlignment="1">
      <alignment horizontal="right" vertical="center" wrapText="1"/>
    </xf>
    <xf numFmtId="188" fontId="2" fillId="0" borderId="50" xfId="0" applyNumberFormat="1" applyFont="1" applyBorder="1" applyAlignment="1">
      <alignment vertical="center"/>
    </xf>
    <xf numFmtId="188" fontId="2" fillId="3" borderId="41" xfId="0" applyNumberFormat="1" applyFont="1" applyFill="1" applyBorder="1" applyAlignment="1">
      <alignment vertical="center"/>
    </xf>
    <xf numFmtId="189" fontId="2" fillId="3" borderId="40" xfId="0" applyNumberFormat="1" applyFont="1" applyFill="1" applyBorder="1" applyAlignment="1">
      <alignment horizontal="right" vertical="center" wrapText="1"/>
    </xf>
    <xf numFmtId="189" fontId="2" fillId="0" borderId="50" xfId="0" applyNumberFormat="1" applyFont="1" applyBorder="1" applyAlignment="1">
      <alignment vertical="center"/>
    </xf>
    <xf numFmtId="189" fontId="2" fillId="3" borderId="50" xfId="0" applyNumberFormat="1" applyFont="1" applyFill="1" applyBorder="1" applyAlignment="1">
      <alignment horizontal="right" vertical="center" wrapText="1"/>
    </xf>
    <xf numFmtId="188" fontId="2" fillId="3" borderId="40" xfId="0" applyNumberFormat="1" applyFont="1" applyFill="1" applyBorder="1" applyAlignment="1">
      <alignment horizontal="right" vertical="center" wrapText="1"/>
    </xf>
    <xf numFmtId="188" fontId="1" fillId="3" borderId="40" xfId="0" applyNumberFormat="1" applyFont="1" applyFill="1" applyBorder="1" applyAlignment="1">
      <alignment horizontal="right" vertical="center" wrapText="1"/>
    </xf>
    <xf numFmtId="188" fontId="1" fillId="3" borderId="51" xfId="0" applyNumberFormat="1" applyFont="1" applyFill="1" applyBorder="1" applyAlignment="1">
      <alignment horizontal="right" vertical="center" wrapText="1"/>
    </xf>
    <xf numFmtId="188" fontId="2" fillId="3" borderId="45" xfId="0" applyNumberFormat="1" applyFont="1" applyFill="1" applyBorder="1" applyAlignment="1">
      <alignment horizontal="right" vertical="center" wrapText="1"/>
    </xf>
    <xf numFmtId="188" fontId="1" fillId="22" borderId="41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Normal="100" zoomScaleSheetLayoutView="100" workbookViewId="0">
      <pane ySplit="5" topLeftCell="A6" activePane="bottomLeft" state="frozen"/>
      <selection pane="bottomLeft" activeCell="G13" sqref="G13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1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3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6"/>
      <c r="C6" s="15"/>
      <c r="D6" s="15"/>
      <c r="E6" s="15"/>
      <c r="F6" s="15"/>
      <c r="G6" s="15"/>
      <c r="H6" s="15"/>
      <c r="I6" s="17"/>
      <c r="J6" s="17"/>
      <c r="K6" s="18"/>
      <c r="L6" s="18">
        <f ca="1">กระบี่!L6+ชุมพร!L6+ตรัง!L6+นครศรีธรรมราช!L6+นราธิวาส!L6+ปัตตานี!L6+พังงา!L6+พัทลุง!L6+ภูเก็ต!L6+ยะลา!L6+ระนอง!L6+สงขลา!L6+สตูล!L6+สุราษฎร์ธานี!L6</f>
        <v>20622625</v>
      </c>
      <c r="M6" s="18">
        <f>กระบี่!M6+ชุมพร!M6+ตรัง!M6+นครศรีธรรมราช!M6+นราธิวาส!M6+ปัตตานี!M6+พังงา!M6+พัทลุง!M6+ภูเก็ต!M6+ยะลา!M6+ระนอง!M6+สงขลา!M6+สตูล!M6+สุราษฎร์ธานี!M6</f>
        <v>1503937.5799999996</v>
      </c>
      <c r="N6" s="19">
        <f ca="1">IF(L6&gt;0,M6*100/L6,0)</f>
        <v>7.2926583303531904</v>
      </c>
    </row>
    <row r="7" spans="1:14" ht="21.75" customHeight="1" x14ac:dyDescent="0.55000000000000004">
      <c r="A7" s="20" t="s">
        <v>12</v>
      </c>
      <c r="B7" s="21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29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39" t="s">
        <v>14</v>
      </c>
      <c r="C9" s="40"/>
      <c r="D9" s="41"/>
      <c r="E9" s="40"/>
      <c r="F9" s="40"/>
      <c r="G9" s="40"/>
      <c r="H9" s="42" t="s">
        <v>15</v>
      </c>
      <c r="I9" s="43">
        <f ca="1">กระบี่!I9+ชุมพร!I9+ตรัง!I9+นครศรีธรรมราช!I9+นราธิวาส!I9+ปัตตานี!I9+พังงา!I9+พัทลุง!I9+ภูเก็ต!I9+ยะลา!I9+ระนอง!I9+สงขลา!I9+สตูล!I9+สุราษฎร์ธานี!I9</f>
        <v>4</v>
      </c>
      <c r="J9" s="43">
        <f>กระบี่!J9+ชุมพร!J9+ตรัง!J9+นครศรีธรรมราช!J9+นราธิวาส!J9+ปัตตานี!J9+พังงา!J9+พัทลุง!J9+ภูเก็ต!J9+ยะลา!J9+ระนอง!J9+สงขลา!J9+สตูล!J9+สุราษฎร์ธานี!J9</f>
        <v>2</v>
      </c>
      <c r="K9" s="44">
        <f t="shared" ref="K9:K10" ca="1" si="0">IF(I9&gt;0,J9*100/I9,0)</f>
        <v>50</v>
      </c>
      <c r="L9" s="45">
        <f ca="1">กระบี่!L9+ชุมพร!L9+ตรัง!L9+นครศรีธรรมราช!L9+นราธิวาส!L9+ปัตตานี!L9+พังงา!L9+พัทลุง!L9+ภูเก็ต!L9+ยะลา!L9+ระนอง!L9+สงขลา!L9+สตูล!L9+สุราษฎร์ธานี!L9</f>
        <v>2053200</v>
      </c>
      <c r="M9" s="45">
        <f>กระบี่!M9+ชุมพร!M9+ตรัง!M9+นครศรีธรรมราช!M9+นราธิวาส!M9+ปัตตานี!M9+พังงา!M9+พัทลุง!M9+ภูเก็ต!M9+ยะลา!M9+ระนอง!M9+สงขลา!M9+สตูล!M9+สุราษฎร์ธานี!M9</f>
        <v>170600.63</v>
      </c>
      <c r="N9" s="44">
        <f ca="1">IF(L9&gt;0,M9*100/L9,0)</f>
        <v>8.3090117864796422</v>
      </c>
    </row>
    <row r="10" spans="1:14" ht="21.75" customHeight="1" x14ac:dyDescent="0.55000000000000004">
      <c r="A10" s="38"/>
      <c r="B10" s="39"/>
      <c r="C10" s="40"/>
      <c r="D10" s="41"/>
      <c r="E10" s="40"/>
      <c r="F10" s="40"/>
      <c r="G10" s="40"/>
      <c r="H10" s="42" t="s">
        <v>16</v>
      </c>
      <c r="I10" s="43">
        <f ca="1">กระบี่!I10+ชุมพร!I10+ตรัง!I10+นครศรีธรรมราช!I10+นราธิวาส!I10+ปัตตานี!I10+พังงา!I10+พัทลุง!I10+ภูเก็ต!I10+ยะลา!I10+ระนอง!I10+สงขลา!I10+สตูล!I10+สุราษฎร์ธานี!I10</f>
        <v>130</v>
      </c>
      <c r="J10" s="43">
        <f>กระบี่!J10+ชุมพร!J10+ตรัง!J10+นครศรีธรรมราช!J10+นราธิวาส!J10+ปัตตานี!J10+พังงา!J10+พัทลุง!J10+ภูเก็ต!J10+ยะลา!J10+ระนอง!J10+สงขลา!J10+สตูล!J10+สุราษฎร์ธานี!J10</f>
        <v>0</v>
      </c>
      <c r="K10" s="44">
        <f t="shared" ca="1" si="0"/>
        <v>0</v>
      </c>
      <c r="L10" s="45"/>
      <c r="M10" s="45"/>
      <c r="N10" s="44"/>
    </row>
    <row r="11" spans="1:14" ht="21.75" customHeight="1" x14ac:dyDescent="0.55000000000000004">
      <c r="A11" s="46"/>
      <c r="B11" s="47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f>กระบี่!L11+ชุมพร!L11+ตรัง!L11+นครศรีธรรมราช!L11+นราธิวาส!L11+ปัตตานี!L11+พังงา!L11+พัทลุง!L11+ภูเก็ต!L11+ยะลา!L11+ระนอง!L11+สงขลา!L11+สตูล!L11+สุราษฎร์ธานี!L11</f>
        <v>0</v>
      </c>
      <c r="M11" s="55">
        <f>กระบี่!M11+ชุมพร!M11+ตรัง!M11+นครศรีธรรมราช!M11+นราธิวาส!M11+ปัตตานี!M11+พังงา!M11+พัทลุง!M11+ภูเก็ต!M11+ยะลา!M11+ระนอง!M11+สงขลา!M11+สตูล!M11+สุราษฎร์ธานี!M11</f>
        <v>0</v>
      </c>
      <c r="N11" s="55">
        <f t="shared" ref="N11:N14" si="1">+IF(L11&gt;0,M11*100/L11,0)</f>
        <v>0</v>
      </c>
    </row>
    <row r="12" spans="1:14" ht="21.75" customHeight="1" x14ac:dyDescent="0.55000000000000004">
      <c r="A12" s="46"/>
      <c r="B12" s="47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5">
        <f ca="1">กระบี่!L12+ชุมพร!L12+ตรัง!L12+นครศรีธรรมราช!L12+นราธิวาส!L12+ปัตตานี!L12+พังงา!L12+พัทลุง!L12+ภูเก็ต!L12+ยะลา!L12+ระนอง!L12+สงขลา!L12+สตูล!L12+สุราษฎร์ธานี!L12</f>
        <v>2053200</v>
      </c>
      <c r="M12" s="55">
        <f>กระบี่!M12+ชุมพร!M12+ตรัง!M12+นครศรีธรรมราช!M12+นราธิวาส!M12+ปัตตานี!M12+พังงา!M12+พัทลุง!M12+ภูเก็ต!M12+ยะลา!M12+ระนอง!M12+สงขลา!M12+สตูล!M12+สุราษฎร์ธานี!M12</f>
        <v>170600.63</v>
      </c>
      <c r="N12" s="55">
        <f t="shared" ca="1" si="1"/>
        <v>8.3090117864796422</v>
      </c>
    </row>
    <row r="13" spans="1:14" ht="21.75" customHeight="1" x14ac:dyDescent="0.55000000000000004">
      <c r="A13" s="46"/>
      <c r="B13" s="47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กระบี่!L13+ชุมพร!L13+ตรัง!L13+นครศรีธรรมราช!L13+นราธิวาส!L13+ปัตตานี!L13+พังงา!L13+พัทลุง!L13+ภูเก็ต!L13+ยะลา!L13+ระนอง!L13+สงขลา!L13+สตูล!L13+สุราษฎร์ธานี!L13</f>
        <v>689200</v>
      </c>
      <c r="M13" s="59">
        <f>กระบี่!M13+ชุมพร!M13+ตรัง!M13+นครศรีธรรมราช!M13+นราธิวาส!M13+ปัตตานี!M13+พังงา!M13+พัทลุง!M13+ภูเก็ต!M13+ยะลา!M13+ระนอง!M13+สงขลา!M13+สตูล!M13+สุราษฎร์ธานี!M13</f>
        <v>116021.39</v>
      </c>
      <c r="N13" s="58">
        <f t="shared" ca="1" si="1"/>
        <v>16.834212130005803</v>
      </c>
    </row>
    <row r="14" spans="1:14" ht="21.75" customHeight="1" x14ac:dyDescent="0.55000000000000004">
      <c r="A14" s="46"/>
      <c r="B14" s="47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กระบี่!L14+ชุมพร!L14+ตรัง!L14+นครศรีธรรมราช!L14+นราธิวาส!L14+ปัตตานี!L14+พังงา!L14+พัทลุง!L14+ภูเก็ต!L14+ยะลา!L14+ระนอง!L14+สงขลา!L14+สตูล!L14+สุราษฎร์ธานี!L14</f>
        <v>1364000</v>
      </c>
      <c r="M14" s="59">
        <f>กระบี่!M14+ชุมพร!M14+ตรัง!M14+นครศรีธรรมราช!M14+นราธิวาส!M14+ปัตตานี!M14+พังงา!M14+พัทลุง!M14+ภูเก็ต!M14+ยะลา!M14+ระนอง!M14+สงขลา!M14+สตูล!M14+สุราษฎร์ธานี!M14</f>
        <v>54579.24</v>
      </c>
      <c r="N14" s="58">
        <f t="shared" ca="1" si="1"/>
        <v>4.0014105571847507</v>
      </c>
    </row>
    <row r="15" spans="1:14" ht="21.75" customHeight="1" x14ac:dyDescent="0.55000000000000004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55000000000000004">
      <c r="A16" s="60"/>
      <c r="B16" s="61"/>
      <c r="C16" s="67"/>
      <c r="D16" s="68">
        <v>1</v>
      </c>
      <c r="E16" s="69" t="s">
        <v>26</v>
      </c>
      <c r="F16" s="70"/>
      <c r="G16" s="71"/>
      <c r="H16" s="72"/>
      <c r="I16" s="73"/>
      <c r="J16" s="74">
        <f>กระบี่!J16+ชุมพร!J16+ตรัง!J16+นครศรีธรรมราช!J16+นราธิวาส!J16+ปัตตานี!J16+พังงา!J16+พัทลุง!J16+ภูเก็ต!J16+ยะลา!J16+ระนอง!J16+สงขลา!J16+สตูล!J16+สุราษฎร์ธานี!J16</f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1"/>
      <c r="C17" s="67"/>
      <c r="D17" s="75">
        <v>2</v>
      </c>
      <c r="E17" s="76" t="s">
        <v>27</v>
      </c>
      <c r="F17" s="77"/>
      <c r="G17" s="78"/>
      <c r="H17" s="72"/>
      <c r="I17" s="73"/>
      <c r="J17" s="74">
        <f>กระบี่!J17+ชุมพร!J17+ตรัง!J17+นครศรีธรรมราช!J17+นราธิวาส!J17+ปัตตานี!J17+พังงา!J17+พัทลุง!J17+ภูเก็ต!J17+ยะลา!J17+ระนอง!J17+สงขลา!J17+สตูล!J17+สุราษฎร์ธานี!J17</f>
        <v>3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1"/>
      <c r="C18" s="67"/>
      <c r="D18" s="61"/>
      <c r="E18" s="79" t="s">
        <v>28</v>
      </c>
      <c r="F18" s="80"/>
      <c r="G18" s="81"/>
      <c r="H18" s="72"/>
      <c r="I18" s="73"/>
      <c r="J18" s="74">
        <f>กระบี่!J18+ชุมพร!J18+ตรัง!J18+นครศรีธรรมราช!J18+นราธิวาส!J18+ปัตตานี!J18+พังงา!J18+พัทลุง!J18+ภูเก็ต!J18+ยะลา!J18+ระนอง!J18+สงขลา!J18+สตูล!J18+สุราษฎร์ธานี!J18</f>
        <v>3</v>
      </c>
      <c r="K18" s="54"/>
      <c r="L18" s="66"/>
      <c r="M18" s="66"/>
      <c r="N18" s="66"/>
    </row>
    <row r="19" spans="1:14" ht="21.75" customHeight="1" x14ac:dyDescent="0.55000000000000004">
      <c r="A19" s="60"/>
      <c r="B19" s="61"/>
      <c r="C19" s="67"/>
      <c r="D19" s="61"/>
      <c r="E19" s="79" t="s">
        <v>29</v>
      </c>
      <c r="F19" s="80"/>
      <c r="G19" s="81"/>
      <c r="H19" s="72"/>
      <c r="I19" s="73"/>
      <c r="J19" s="74">
        <f>กระบี่!J19+ชุมพร!J19+ตรัง!J19+นครศรีธรรมราช!J19+นราธิวาส!J19+ปัตตานี!J19+พังงา!J19+พัทลุง!J19+ภูเก็ต!J19+ยะลา!J19+ระนอง!J19+สงขลา!J19+สตูล!J19+สุราษฎร์ธานี!J19</f>
        <v>3</v>
      </c>
      <c r="K19" s="54"/>
      <c r="L19" s="66"/>
      <c r="M19" s="66"/>
      <c r="N19" s="66"/>
    </row>
    <row r="20" spans="1:14" ht="21.75" customHeight="1" x14ac:dyDescent="0.55000000000000004">
      <c r="A20" s="60"/>
      <c r="B20" s="61"/>
      <c r="C20" s="67"/>
      <c r="D20" s="61"/>
      <c r="E20" s="82"/>
      <c r="F20" s="79" t="s">
        <v>30</v>
      </c>
      <c r="G20" s="80"/>
      <c r="H20" s="83" t="s">
        <v>15</v>
      </c>
      <c r="I20" s="84">
        <f ca="1">กระบี่!I20+ชุมพร!I20+ตรัง!I20+นครศรีธรรมราช!I20+นราธิวาส!I20+ปัตตานี!I20+พังงา!I20+พัทลุง!I20+ภูเก็ต!I20+ยะลา!I20+ระนอง!I20+สงขลา!I20+สตูล!I20+สุราษฎร์ธานี!I20</f>
        <v>4</v>
      </c>
      <c r="J20" s="84">
        <f>กระบี่!J20+ชุมพร!J20+ตรัง!J20+นครศรีธรรมราช!J20+นราธิวาส!J20+ปัตตานี!J20+พังงา!J20+พัทลุง!J20+ภูเก็ต!J20+ยะลา!J20+ระนอง!J20+สงขลา!J20+สตูล!J20+สุราษฎร์ธานี!J20</f>
        <v>2</v>
      </c>
      <c r="K20" s="85">
        <f t="shared" ref="K20:K28" ca="1" si="2">IF(I20&gt;0,J20*100/I20,0)</f>
        <v>50</v>
      </c>
      <c r="L20" s="66"/>
      <c r="M20" s="66"/>
      <c r="N20" s="66"/>
    </row>
    <row r="21" spans="1:14" ht="21.75" customHeight="1" x14ac:dyDescent="0.55000000000000004">
      <c r="A21" s="60"/>
      <c r="B21" s="61"/>
      <c r="C21" s="67"/>
      <c r="D21" s="61"/>
      <c r="E21" s="82"/>
      <c r="F21" s="80"/>
      <c r="G21" s="81"/>
      <c r="H21" s="83" t="s">
        <v>16</v>
      </c>
      <c r="I21" s="84">
        <f ca="1">กระบี่!I21+ชุมพร!I21+ตรัง!I21+นครศรีธรรมราช!I21+นราธิวาส!I21+ปัตตานี!I21+พังงา!I21+พัทลุง!I21+ภูเก็ต!I21+ยะลา!I21+ระนอง!I21+สงขลา!I21+สตูล!I21+สุราษฎร์ธานี!I21</f>
        <v>130</v>
      </c>
      <c r="J21" s="84">
        <f>กระบี่!J21+ชุมพร!J21+ตรัง!J21+นครศรีธรรมราช!J21+นราธิวาส!J21+ปัตตานี!J21+พังงา!J21+พัทลุง!J21+ภูเก็ต!J21+ยะลา!J21+ระนอง!J21+สงขลา!J21+สตูล!J21+สุราษฎร์ธานี!J21</f>
        <v>0</v>
      </c>
      <c r="K21" s="85">
        <f t="shared" ca="1" si="2"/>
        <v>0</v>
      </c>
      <c r="L21" s="66"/>
      <c r="M21" s="66"/>
      <c r="N21" s="66"/>
    </row>
    <row r="22" spans="1:14" ht="21.75" customHeight="1" x14ac:dyDescent="0.55000000000000004">
      <c r="A22" s="60"/>
      <c r="B22" s="61"/>
      <c r="C22" s="67"/>
      <c r="D22" s="61"/>
      <c r="E22" s="82"/>
      <c r="F22" s="80"/>
      <c r="G22" s="80" t="s">
        <v>31</v>
      </c>
      <c r="H22" s="65" t="s">
        <v>15</v>
      </c>
      <c r="I22" s="53">
        <f ca="1">กระบี่!I22+ชุมพร!I22+ตรัง!I22+นครศรีธรรมราช!I22+นราธิวาส!I22+ปัตตานี!I22+พังงา!I22+พัทลุง!I22+ภูเก็ต!I22+ยะลา!I22+ระนอง!I22+สงขลา!I22+สตูล!I22+สุราษฎร์ธานี!I22</f>
        <v>1</v>
      </c>
      <c r="J22" s="74">
        <f>กระบี่!J22+ชุมพร!J22+ตรัง!J22+นครศรีธรรมราช!J22+นราธิวาส!J22+ปัตตานี!J22+พังงา!J22+พัทลุง!J22+ภูเก็ต!J22+ยะลา!J22+ระนอง!J22+สงขลา!J22+สตูล!J22+สุราษฎร์ธานี!J22</f>
        <v>1</v>
      </c>
      <c r="K22" s="54">
        <f t="shared" ca="1" si="2"/>
        <v>100</v>
      </c>
      <c r="L22" s="66"/>
      <c r="M22" s="66"/>
      <c r="N22" s="66"/>
    </row>
    <row r="23" spans="1:14" ht="21.75" customHeight="1" x14ac:dyDescent="0.55000000000000004">
      <c r="A23" s="60"/>
      <c r="B23" s="61"/>
      <c r="C23" s="67"/>
      <c r="D23" s="61"/>
      <c r="E23" s="82"/>
      <c r="F23" s="80"/>
      <c r="G23" s="81"/>
      <c r="H23" s="65" t="s">
        <v>16</v>
      </c>
      <c r="I23" s="53">
        <f ca="1">กระบี่!I23+ชุมพร!I23+ตรัง!I23+นครศรีธรรมราช!I23+นราธิวาส!I23+ปัตตานี!I23+พังงา!I23+พัทลุง!I23+ภูเก็ต!I23+ยะลา!I23+ระนอง!I23+สงขลา!I23+สตูล!I23+สุราษฎร์ธานี!I23</f>
        <v>30</v>
      </c>
      <c r="J23" s="74">
        <f>กระบี่!J23+ชุมพร!J23+ตรัง!J23+นครศรีธรรมราช!J23+นราธิวาส!J23+ปัตตานี!J23+พังงา!J23+พัทลุง!J23+ภูเก็ต!J23+ยะลา!J23+ระนอง!J23+สงขลา!J23+สตูล!J23+สุราษฎร์ธานี!J23</f>
        <v>0</v>
      </c>
      <c r="K23" s="54">
        <f t="shared" ca="1" si="2"/>
        <v>0</v>
      </c>
      <c r="L23" s="66"/>
      <c r="M23" s="66"/>
      <c r="N23" s="66"/>
    </row>
    <row r="24" spans="1:14" ht="21.75" customHeight="1" x14ac:dyDescent="0.55000000000000004">
      <c r="A24" s="60"/>
      <c r="B24" s="61"/>
      <c r="C24" s="67"/>
      <c r="D24" s="61"/>
      <c r="E24" s="82"/>
      <c r="F24" s="80"/>
      <c r="G24" s="80" t="s">
        <v>32</v>
      </c>
      <c r="H24" s="65" t="s">
        <v>15</v>
      </c>
      <c r="I24" s="53">
        <f ca="1">กระบี่!I24+ชุมพร!I24+ตรัง!I24+นครศรีธรรมราช!I24+นราธิวาส!I24+ปัตตานี!I24+พังงา!I24+พัทลุง!I24+ภูเก็ต!I24+ยะลา!I24+ระนอง!I24+สงขลา!I24+สตูล!I24+สุราษฎร์ธานี!I24</f>
        <v>1</v>
      </c>
      <c r="J24" s="74">
        <f>กระบี่!J24+ชุมพร!J24+ตรัง!J24+นครศรีธรรมราช!J24+นราธิวาส!J24+ปัตตานี!J24+พังงา!J24+พัทลุง!J24+ภูเก็ต!J24+ยะลา!J24+ระนอง!J24+สงขลา!J24+สตูล!J24+สุราษฎร์ธานี!J24</f>
        <v>1</v>
      </c>
      <c r="K24" s="54">
        <f t="shared" ca="1" si="2"/>
        <v>100</v>
      </c>
      <c r="L24" s="66"/>
      <c r="M24" s="66"/>
      <c r="N24" s="66"/>
    </row>
    <row r="25" spans="1:14" ht="21.75" customHeight="1" x14ac:dyDescent="0.55000000000000004">
      <c r="A25" s="60"/>
      <c r="B25" s="61"/>
      <c r="C25" s="67"/>
      <c r="D25" s="61"/>
      <c r="E25" s="82"/>
      <c r="F25" s="80"/>
      <c r="G25" s="81"/>
      <c r="H25" s="65" t="s">
        <v>16</v>
      </c>
      <c r="I25" s="53">
        <f ca="1">กระบี่!I25+ชุมพร!I25+ตรัง!I25+นครศรีธรรมราช!I25+นราธิวาส!I25+ปัตตานี!I25+พังงา!I25+พัทลุง!I25+ภูเก็ต!I25+ยะลา!I25+ระนอง!I25+สงขลา!I25+สตูล!I25+สุราษฎร์ธานี!I25</f>
        <v>30</v>
      </c>
      <c r="J25" s="74">
        <f>กระบี่!J25+ชุมพร!J25+ตรัง!J25+นครศรีธรรมราช!J25+นราธิวาส!J25+ปัตตานี!J25+พังงา!J25+พัทลุง!J25+ภูเก็ต!J25+ยะลา!J25+ระนอง!J25+สงขลา!J25+สตูล!J25+สุราษฎร์ธานี!J25</f>
        <v>0</v>
      </c>
      <c r="K25" s="54">
        <f t="shared" ca="1" si="2"/>
        <v>0</v>
      </c>
      <c r="L25" s="66"/>
      <c r="M25" s="66"/>
      <c r="N25" s="66"/>
    </row>
    <row r="26" spans="1:14" ht="21.75" customHeight="1" x14ac:dyDescent="0.55000000000000004">
      <c r="A26" s="60"/>
      <c r="B26" s="61"/>
      <c r="C26" s="67"/>
      <c r="D26" s="61"/>
      <c r="E26" s="82"/>
      <c r="F26" s="80"/>
      <c r="G26" s="80" t="s">
        <v>33</v>
      </c>
      <c r="H26" s="65" t="s">
        <v>15</v>
      </c>
      <c r="I26" s="53">
        <f ca="1">กระบี่!I26+ชุมพร!I26+ตรัง!I26+นครศรีธรรมราช!I26+นราธิวาส!I26+ปัตตานี!I26+พังงา!I26+พัทลุง!I26+ภูเก็ต!I26+ยะลา!I26+ระนอง!I26+สงขลา!I26+สตูล!I26+สุราษฎร์ธานี!I26</f>
        <v>2</v>
      </c>
      <c r="J26" s="74">
        <f>กระบี่!J26+ชุมพร!J26+ตรัง!J26+นครศรีธรรมราช!J26+นราธิวาส!J26+ปัตตานี!J26+พังงา!J26+พัทลุง!J26+ภูเก็ต!J26+ยะลา!J26+ระนอง!J26+สงขลา!J26+สตูล!J26+สุราษฎร์ธานี!J26</f>
        <v>0</v>
      </c>
      <c r="K26" s="54">
        <f t="shared" ca="1" si="2"/>
        <v>0</v>
      </c>
      <c r="L26" s="66"/>
      <c r="M26" s="66"/>
      <c r="N26" s="66"/>
    </row>
    <row r="27" spans="1:14" ht="21.75" customHeight="1" x14ac:dyDescent="0.55000000000000004">
      <c r="A27" s="60"/>
      <c r="B27" s="61"/>
      <c r="C27" s="67"/>
      <c r="D27" s="61"/>
      <c r="E27" s="82"/>
      <c r="F27" s="80"/>
      <c r="G27" s="81"/>
      <c r="H27" s="65" t="s">
        <v>16</v>
      </c>
      <c r="I27" s="53">
        <f ca="1">กระบี่!I27+ชุมพร!I27+ตรัง!I27+นครศรีธรรมราช!I27+นราธิวาส!I27+ปัตตานี!I27+พังงา!I27+พัทลุง!I27+ภูเก็ต!I27+ยะลา!I27+ระนอง!I27+สงขลา!I27+สตูล!I27+สุราษฎร์ธานี!I27</f>
        <v>70</v>
      </c>
      <c r="J27" s="74">
        <f>กระบี่!J27+ชุมพร!J27+ตรัง!J27+นครศรีธรรมราช!J27+นราธิวาส!J27+ปัตตานี!J27+พังงา!J27+พัทลุง!J27+ภูเก็ต!J27+ยะลา!J27+ระนอง!J27+สงขลา!J27+สตูล!J27+สุราษฎร์ธานี!J27</f>
        <v>0</v>
      </c>
      <c r="K27" s="54">
        <f t="shared" ca="1" si="2"/>
        <v>0</v>
      </c>
      <c r="L27" s="66"/>
      <c r="M27" s="66"/>
      <c r="N27" s="66"/>
    </row>
    <row r="28" spans="1:14" ht="21.75" customHeight="1" x14ac:dyDescent="0.55000000000000004">
      <c r="A28" s="60"/>
      <c r="B28" s="61"/>
      <c r="C28" s="67"/>
      <c r="D28" s="61"/>
      <c r="E28" s="82"/>
      <c r="F28" s="79" t="s">
        <v>34</v>
      </c>
      <c r="G28" s="80"/>
      <c r="H28" s="65" t="s">
        <v>16</v>
      </c>
      <c r="I28" s="53">
        <v>0</v>
      </c>
      <c r="J28" s="74">
        <f>กระบี่!J28+ชุมพร!J28+ตรัง!J28+นครศรีธรรมราช!J28+นราธิวาส!J28+ปัตตานี!J28+พังงา!J28+พัทลุง!J28+ภูเก็ต!J28+ยะลา!J28+ระนอง!J28+สงขลา!J28+สตูล!J28+สุราษฎร์ธานี!J28</f>
        <v>0</v>
      </c>
      <c r="K28" s="54">
        <f t="shared" si="2"/>
        <v>0</v>
      </c>
      <c r="L28" s="66"/>
      <c r="M28" s="66"/>
      <c r="N28" s="66"/>
    </row>
    <row r="29" spans="1:14" ht="21.75" customHeight="1" x14ac:dyDescent="0.55000000000000004">
      <c r="A29" s="60"/>
      <c r="B29" s="61"/>
      <c r="C29" s="67"/>
      <c r="D29" s="61"/>
      <c r="E29" s="79" t="s">
        <v>35</v>
      </c>
      <c r="F29" s="80"/>
      <c r="G29" s="81"/>
      <c r="H29" s="72"/>
      <c r="I29" s="73"/>
      <c r="J29" s="74">
        <f>กระบี่!J29+ชุมพร!J29+ตรัง!J29+นครศรีธรรมราช!J29+นราธิวาส!J29+ปัตตานี!J29+พังงา!J29+พัทลุง!J29+ภูเก็ต!J29+ยะลา!J29+ระนอง!J29+สงขลา!J29+สตูล!J29+สุราษฎร์ธานี!J29</f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1"/>
      <c r="C30" s="67"/>
      <c r="D30" s="86">
        <v>3</v>
      </c>
      <c r="E30" s="87" t="s">
        <v>36</v>
      </c>
      <c r="F30" s="88"/>
      <c r="G30" s="89"/>
      <c r="H30" s="72"/>
      <c r="I30" s="73"/>
      <c r="J30" s="90">
        <f>กระบี่!J30+ชุมพร!J30+ตรัง!J30+นครศรีธรรมราช!J30+นราธิวาส!J30+ปัตตานี!J30+พังงา!J30+พัทลุง!J30+ภูเก็ต!J30+ยะลา!J30+ระนอง!J30+สงขลา!J30+สตูล!J30+สุราษฎร์ธานี!J30</f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2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39" t="s">
        <v>38</v>
      </c>
      <c r="C32" s="40"/>
      <c r="D32" s="41"/>
      <c r="E32" s="40"/>
      <c r="F32" s="40"/>
      <c r="G32" s="102"/>
      <c r="H32" s="42" t="s">
        <v>16</v>
      </c>
      <c r="I32" s="43">
        <f ca="1">กระบี่!I32+ชุมพร!I32+ตรัง!I32+นครศรีธรรมราช!I32+นราธิวาส!I32+ปัตตานี!I32+พังงา!I32+พัทลุง!I32+ภูเก็ต!I32+ยะลา!I32+ระนอง!I32+สงขลา!I32+สตูล!I32+สุราษฎร์ธานี!I32</f>
        <v>23</v>
      </c>
      <c r="J32" s="43">
        <f>กระบี่!J32+ชุมพร!J32+ตรัง!J32+นครศรีธรรมราช!J32+นราธิวาส!J32+ปัตตานี!J32+พังงา!J32+พัทลุง!J32+ภูเก็ต!J32+ยะลา!J32+ระนอง!J32+สงขลา!J32+สตูล!J32+สุราษฎร์ธานี!J32</f>
        <v>0</v>
      </c>
      <c r="K32" s="44">
        <f t="shared" ref="K32:K33" ca="1" si="3">IF(I32&gt;0,J32*100/I32,0)</f>
        <v>0</v>
      </c>
      <c r="L32" s="103">
        <f ca="1">กระบี่!L32+ชุมพร!L32+ตรัง!L32+นครศรีธรรมราช!L32+นราธิวาส!L32+ปัตตานี!L32+พังงา!L32+พัทลุง!L32+ภูเก็ต!L32+ยะลา!L32+ระนอง!L32+สงขลา!L32+สตูล!L32+สุราษฎร์ธานี!L32</f>
        <v>623400</v>
      </c>
      <c r="M32" s="103">
        <f>กระบี่!M32+ชุมพร!M32+ตรัง!M32+นครศรีธรรมราช!M32+นราธิวาส!M32+ปัตตานี!M32+พังงา!M32+พัทลุง!M32+ภูเก็ต!M32+ยะลา!M32+ระนอง!M32+สงขลา!M32+สตูล!M32+สุราษฎร์ธานี!M32</f>
        <v>3460</v>
      </c>
      <c r="N32" s="44">
        <f ca="1">IF(L32&gt;0,M32*100/L32,0)</f>
        <v>0.55502085338466478</v>
      </c>
    </row>
    <row r="33" spans="1:14" ht="21.75" customHeight="1" x14ac:dyDescent="0.55000000000000004">
      <c r="A33" s="38"/>
      <c r="B33" s="39"/>
      <c r="C33" s="40"/>
      <c r="D33" s="41" t="s">
        <v>39</v>
      </c>
      <c r="E33" s="40"/>
      <c r="F33" s="40"/>
      <c r="G33" s="102"/>
      <c r="H33" s="42" t="s">
        <v>40</v>
      </c>
      <c r="I33" s="43">
        <f ca="1">กระบี่!I33+ชุมพร!I33+ตรัง!I33+นครศรีธรรมราช!I33+นราธิวาส!I33+ปัตตานี!I33+พังงา!I33+พัทลุง!I33+ภูเก็ต!I33+ยะลา!I33+ระนอง!I33+สงขลา!I33+สตูล!I33+สุราษฎร์ธานี!I33</f>
        <v>6</v>
      </c>
      <c r="J33" s="43">
        <f>กระบี่!J33+ชุมพร!J33+ตรัง!J33+นครศรีธรรมราช!J33+นราธิวาส!J33+ปัตตานี!J33+พังงา!J33+พัทลุง!J33+ภูเก็ต!J33+ยะลา!J33+ระนอง!J33+สงขลา!J33+สตูล!J33+สุราษฎร์ธานี!J33</f>
        <v>0</v>
      </c>
      <c r="K33" s="44">
        <f t="shared" ca="1" si="3"/>
        <v>0</v>
      </c>
      <c r="L33" s="103"/>
      <c r="M33" s="103"/>
      <c r="N33" s="44"/>
    </row>
    <row r="34" spans="1:14" ht="21.75" customHeight="1" x14ac:dyDescent="0.55000000000000004">
      <c r="A34" s="46"/>
      <c r="B34" s="47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5">
        <f>กระบี่!L34+ชุมพร!L34+ตรัง!L34+นครศรีธรรมราช!L34+นราธิวาส!L34+ปัตตานี!L34+พังงา!L34+พัทลุง!L34+ภูเก็ต!L34+ยะลา!L34+ระนอง!L34+สงขลา!L34+สตูล!L34+สุราษฎร์ธานี!L34</f>
        <v>0</v>
      </c>
      <c r="M34" s="55">
        <f>กระบี่!M34+ชุมพร!M34+ตรัง!M34+นครศรีธรรมราช!M34+นราธิวาส!M34+ปัตตานี!M34+พังงา!M34+พัทลุง!M34+ภูเก็ต!M34+ยะลา!M34+ระนอง!M34+สงขลา!M34+สตูล!M34+สุราษฎร์ธานี!M34</f>
        <v>0</v>
      </c>
      <c r="N34" s="55">
        <f t="shared" ref="N34:N37" si="4">+IF(L34&gt;0,M34*100/L34,0)</f>
        <v>0</v>
      </c>
    </row>
    <row r="35" spans="1:14" ht="21.75" customHeight="1" x14ac:dyDescent="0.55000000000000004">
      <c r="A35" s="46"/>
      <c r="B35" s="47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5">
        <f ca="1">กระบี่!L35+ชุมพร!L35+ตรัง!L35+นครศรีธรรมราช!L35+นราธิวาส!L35+ปัตตานี!L35+พังงา!L35+พัทลุง!L35+ภูเก็ต!L35+ยะลา!L35+ระนอง!L35+สงขลา!L35+สตูล!L35+สุราษฎร์ธานี!L35</f>
        <v>623400</v>
      </c>
      <c r="M35" s="55">
        <f>กระบี่!M35+ชุมพร!M35+ตรัง!M35+นครศรีธรรมราช!M35+นราธิวาส!M35+ปัตตานี!M35+พังงา!M35+พัทลุง!M35+ภูเก็ต!M35+ยะลา!M35+ระนอง!M35+สงขลา!M35+สตูล!M35+สุราษฎร์ธานี!M35</f>
        <v>3460</v>
      </c>
      <c r="N35" s="55">
        <f t="shared" ca="1" si="4"/>
        <v>0.55502085338466478</v>
      </c>
    </row>
    <row r="36" spans="1:14" ht="21.75" customHeight="1" x14ac:dyDescent="0.55000000000000004">
      <c r="A36" s="46"/>
      <c r="B36" s="47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0</v>
      </c>
      <c r="M36" s="58">
        <f>กระบี่!M36+ชุมพร!M36+ตรัง!M36+นครศรีธรรมราช!M36+นราธิวาส!M36+ปัตตานี!M36+พังงา!M36+พัทลุง!M36+ภูเก็ต!M36+ยะลา!M36+ระนอง!M36+สงขลา!M36+สตูล!M36+สุราษฎร์ธานี!M36</f>
        <v>0</v>
      </c>
      <c r="N36" s="58">
        <f t="shared" ca="1" si="4"/>
        <v>0</v>
      </c>
    </row>
    <row r="37" spans="1:14" ht="21.75" customHeight="1" x14ac:dyDescent="0.55000000000000004">
      <c r="A37" s="46"/>
      <c r="B37" s="47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กระบี่!L37+ชุมพร!L37+ตรัง!L37+นครศรีธรรมราช!L37+นราธิวาส!L37+ปัตตานี!L37+พังงา!L37+พัทลุง!L37+ภูเก็ต!L37+ยะลา!L37+ระนอง!L37+สงขลา!L37+สตูล!L37+สุราษฎร์ธานี!L37</f>
        <v>623400</v>
      </c>
      <c r="M37" s="59">
        <f>กระบี่!M37+ชุมพร!M37+ตรัง!M37+นครศรีธรรมราช!M37+นราธิวาส!M37+ปัตตานี!M37+พังงา!M37+พัทลุง!M37+ภูเก็ต!M37+ยะลา!M37+ระนอง!M37+สงขลา!M37+สตูล!M37+สุราษฎร์ธานี!M37</f>
        <v>3460</v>
      </c>
      <c r="N37" s="58">
        <f t="shared" ca="1" si="4"/>
        <v>0.55502085338466478</v>
      </c>
    </row>
    <row r="38" spans="1:14" ht="21.75" customHeight="1" x14ac:dyDescent="0.55000000000000004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1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f>กระบี่!J39+ชุมพร!J39+ตรัง!J39+นครศรีธรรมราช!J39+นราธิวาส!J39+ปัตตานี!J39+พังงา!J39+พัทลุง!J39+ภูเก็ต!J39+ยะลา!J39+ระนอง!J39+สงขลา!J39+สตูล!J39+สุราษฎร์ธานี!J39</f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1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f>กระบี่!J40+ชุมพร!J40+ตรัง!J40+นครศรีธรรมราช!J40+นราธิวาส!J40+ปัตตานี!J40+พังงา!J40+พัทลุง!J40+ภูเก็ต!J40+ยะลา!J40+ระนอง!J40+สงขลา!J40+สตูล!J40+สุราษฎร์ธานี!J40</f>
        <v>4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1"/>
      <c r="C41" s="67"/>
      <c r="D41" s="61"/>
      <c r="E41" s="79" t="s">
        <v>28</v>
      </c>
      <c r="F41" s="80"/>
      <c r="G41" s="81"/>
      <c r="H41" s="72"/>
      <c r="I41" s="73"/>
      <c r="J41" s="74">
        <f>กระบี่!J41+ชุมพร!J41+ตรัง!J41+นครศรีธรรมราช!J41+นราธิวาส!J41+ปัตตานี!J41+พังงา!J41+พัทลุง!J41+ภูเก็ต!J41+ยะลา!J41+ระนอง!J41+สงขลา!J41+สตูล!J41+สุราษฎร์ธานี!J41</f>
        <v>5</v>
      </c>
      <c r="K41" s="54"/>
      <c r="L41" s="66"/>
      <c r="M41" s="66"/>
      <c r="N41" s="66"/>
    </row>
    <row r="42" spans="1:14" ht="21.75" customHeight="1" x14ac:dyDescent="0.55000000000000004">
      <c r="A42" s="60"/>
      <c r="B42" s="61"/>
      <c r="C42" s="67"/>
      <c r="D42" s="61"/>
      <c r="E42" s="79" t="s">
        <v>29</v>
      </c>
      <c r="F42" s="80"/>
      <c r="G42" s="81"/>
      <c r="H42" s="72"/>
      <c r="I42" s="73"/>
      <c r="J42" s="74">
        <f>กระบี่!J42+ชุมพร!J42+ตรัง!J42+นครศรีธรรมราช!J42+นราธิวาส!J42+ปัตตานี!J42+พังงา!J42+พัทลุง!J42+ภูเก็ต!J42+ยะลา!J42+ระนอง!J42+สงขลา!J42+สตูล!J42+สุราษฎร์ธานี!J42</f>
        <v>4</v>
      </c>
      <c r="K42" s="54"/>
      <c r="L42" s="66"/>
      <c r="M42" s="66"/>
      <c r="N42" s="66"/>
    </row>
    <row r="43" spans="1:14" ht="21.75" customHeight="1" x14ac:dyDescent="0.55000000000000004">
      <c r="A43" s="60"/>
      <c r="B43" s="61"/>
      <c r="C43" s="67"/>
      <c r="D43" s="61"/>
      <c r="E43" s="80"/>
      <c r="F43" s="80" t="s">
        <v>41</v>
      </c>
      <c r="G43" s="80"/>
      <c r="H43" s="65" t="s">
        <v>42</v>
      </c>
      <c r="I43" s="73">
        <f ca="1">กระบี่!I43+ชุมพร!I43+ตรัง!I43+นครศรีธรรมราช!I43+นราธิวาส!I43+ปัตตานี!I43+พังงา!I43+พัทลุง!I43+ภูเก็ต!I43+ยะลา!I43+ระนอง!I43+สงขลา!I43+สตูล!I43+สุราษฎร์ธานี!I43</f>
        <v>5</v>
      </c>
      <c r="J43" s="74">
        <f>กระบี่!J43+ชุมพร!J43+ตรัง!J43+นครศรีธรรมราช!J43+นราธิวาส!J43+ปัตตานี!J43+พังงา!J43+พัทลุง!J43+ภูเก็ต!J43+ยะลา!J43+ระนอง!J43+สงขลา!J43+สตูล!J43+สุราษฎร์ธานี!J43</f>
        <v>2</v>
      </c>
      <c r="K43" s="54">
        <f t="shared" ref="K43:K48" ca="1" si="5">IF(I43&gt;0,J43*100/I43,0)</f>
        <v>40</v>
      </c>
      <c r="L43" s="66"/>
      <c r="M43" s="66"/>
      <c r="N43" s="66"/>
    </row>
    <row r="44" spans="1:14" ht="21.75" customHeight="1" x14ac:dyDescent="0.55000000000000004">
      <c r="A44" s="60"/>
      <c r="B44" s="61"/>
      <c r="C44" s="67"/>
      <c r="D44" s="61"/>
      <c r="E44" s="82"/>
      <c r="F44" s="79" t="s">
        <v>43</v>
      </c>
      <c r="G44" s="80"/>
      <c r="H44" s="65" t="s">
        <v>16</v>
      </c>
      <c r="I44" s="73">
        <f ca="1">กระบี่!I44+ชุมพร!I44+ตรัง!I44+นครศรีธรรมราช!I44+นราธิวาส!I44+ปัตตานี!I44+พังงา!I44+พัทลุง!I44+ภูเก็ต!I44+ยะลา!I44+ระนอง!I44+สงขลา!I44+สตูล!I44+สุราษฎร์ธานี!I44</f>
        <v>23</v>
      </c>
      <c r="J44" s="74">
        <f>กระบี่!J44+ชุมพร!J44+ตรัง!J44+นครศรีธรรมราช!J44+นราธิวาส!J44+ปัตตานี!J44+พังงา!J44+พัทลุง!J44+ภูเก็ต!J44+ยะลา!J44+ระนอง!J44+สงขลา!J44+สตูล!J44+สุราษฎร์ธานี!J44</f>
        <v>0</v>
      </c>
      <c r="K44" s="54">
        <f t="shared" ca="1" si="5"/>
        <v>0</v>
      </c>
      <c r="L44" s="66"/>
      <c r="M44" s="66"/>
      <c r="N44" s="66"/>
    </row>
    <row r="45" spans="1:14" ht="21.75" customHeight="1" x14ac:dyDescent="0.55000000000000004">
      <c r="A45" s="60"/>
      <c r="B45" s="61"/>
      <c r="C45" s="67"/>
      <c r="D45" s="61"/>
      <c r="E45" s="82"/>
      <c r="F45" s="80"/>
      <c r="G45" s="104" t="s">
        <v>44</v>
      </c>
      <c r="H45" s="65" t="s">
        <v>16</v>
      </c>
      <c r="I45" s="73">
        <f ca="1">กระบี่!I45+ชุมพร!I45+ตรัง!I45+นครศรีธรรมราช!I45+นราธิวาส!I45+ปัตตานี!I45+พังงา!I45+พัทลุง!I45+ภูเก็ต!I45+ยะลา!I45+ระนอง!I45+สงขลา!I45+สตูล!I45+สุราษฎร์ธานี!I45</f>
        <v>23</v>
      </c>
      <c r="J45" s="74">
        <f>กระบี่!J45+ชุมพร!J45+ตรัง!J45+นครศรีธรรมราช!J45+นราธิวาส!J45+ปัตตานี!J45+พังงา!J45+พัทลุง!J45+ภูเก็ต!J45+ยะลา!J45+ระนอง!J45+สงขลา!J45+สตูล!J45+สุราษฎร์ธานี!J45</f>
        <v>0</v>
      </c>
      <c r="K45" s="54">
        <f t="shared" ca="1" si="5"/>
        <v>0</v>
      </c>
      <c r="L45" s="66"/>
      <c r="M45" s="66"/>
      <c r="N45" s="66"/>
    </row>
    <row r="46" spans="1:14" ht="21.75" customHeight="1" x14ac:dyDescent="0.55000000000000004">
      <c r="A46" s="60"/>
      <c r="B46" s="61"/>
      <c r="C46" s="67"/>
      <c r="D46" s="61"/>
      <c r="E46" s="82"/>
      <c r="F46" s="80"/>
      <c r="G46" s="104" t="s">
        <v>45</v>
      </c>
      <c r="H46" s="65" t="s">
        <v>16</v>
      </c>
      <c r="I46" s="53">
        <f ca="1">กระบี่!I46+ชุมพร!I46+ตรัง!I46+นครศรีธรรมราช!I46+นราธิวาส!I46+ปัตตานี!I46+พังงา!I46+พัทลุง!I46+ภูเก็ต!I46+ยะลา!I46+ระนอง!I46+สงขลา!I46+สตูล!I46+สุราษฎร์ธานี!I46</f>
        <v>23</v>
      </c>
      <c r="J46" s="74">
        <f>กระบี่!J46+ชุมพร!J46+ตรัง!J46+นครศรีธรรมราช!J46+นราธิวาส!J46+ปัตตานี!J46+พังงา!J46+พัทลุง!J46+ภูเก็ต!J46+ยะลา!J46+ระนอง!J46+สงขลา!J46+สตูล!J46+สุราษฎร์ธานี!J46</f>
        <v>0</v>
      </c>
      <c r="K46" s="54">
        <f t="shared" ca="1" si="5"/>
        <v>0</v>
      </c>
      <c r="L46" s="66"/>
      <c r="M46" s="66"/>
      <c r="N46" s="66"/>
    </row>
    <row r="47" spans="1:14" ht="21.75" customHeight="1" x14ac:dyDescent="0.55000000000000004">
      <c r="A47" s="60"/>
      <c r="B47" s="61"/>
      <c r="C47" s="67"/>
      <c r="D47" s="61"/>
      <c r="E47" s="82"/>
      <c r="F47" s="80"/>
      <c r="G47" s="105" t="s">
        <v>46</v>
      </c>
      <c r="H47" s="65" t="s">
        <v>16</v>
      </c>
      <c r="I47" s="53">
        <f ca="1">กระบี่!I47+ชุมพร!I47+ตรัง!I47+นครศรีธรรมราช!I47+นราธิวาส!I47+ปัตตานี!I47+พังงา!I47+พัทลุง!I47+ภูเก็ต!I47+ยะลา!I47+ระนอง!I47+สงขลา!I47+สตูล!I47+สุราษฎร์ธานี!I47</f>
        <v>23</v>
      </c>
      <c r="J47" s="74">
        <f>กระบี่!J47+ชุมพร!J47+ตรัง!J47+นครศรีธรรมราช!J47+นราธิวาส!J47+ปัตตานี!J47+พังงา!J47+พัทลุง!J47+ภูเก็ต!J47+ยะลา!J47+ระนอง!J47+สงขลา!J47+สตูล!J47+สุราษฎร์ธานี!J47</f>
        <v>0</v>
      </c>
      <c r="K47" s="54">
        <f t="shared" ca="1" si="5"/>
        <v>0</v>
      </c>
      <c r="L47" s="66"/>
      <c r="M47" s="66"/>
      <c r="N47" s="66"/>
    </row>
    <row r="48" spans="1:14" ht="21.75" customHeight="1" x14ac:dyDescent="0.55000000000000004">
      <c r="A48" s="60"/>
      <c r="B48" s="61"/>
      <c r="C48" s="67"/>
      <c r="D48" s="61"/>
      <c r="E48" s="82"/>
      <c r="F48" s="80" t="s">
        <v>47</v>
      </c>
      <c r="G48" s="80"/>
      <c r="H48" s="65" t="s">
        <v>40</v>
      </c>
      <c r="I48" s="53">
        <f ca="1">กระบี่!I48+ชุมพร!I48+ตรัง!I48+นครศรีธรรมราช!I48+นราธิวาส!I48+ปัตตานี!I48+พังงา!I48+พัทลุง!I48+ภูเก็ต!I48+ยะลา!I48+ระนอง!I48+สงขลา!I48+สตูล!I48+สุราษฎร์ธานี!I48</f>
        <v>6</v>
      </c>
      <c r="J48" s="74">
        <f>กระบี่!J48+ชุมพร!J48+ตรัง!J48+นครศรีธรรมราช!J48+นราธิวาส!J48+ปัตตานี!J48+พังงา!J48+พัทลุง!J48+ภูเก็ต!J48+ยะลา!J48+ระนอง!J48+สงขลา!J48+สตูล!J48+สุราษฎร์ธานี!J48</f>
        <v>0</v>
      </c>
      <c r="K48" s="54">
        <f t="shared" ca="1" si="5"/>
        <v>0</v>
      </c>
      <c r="L48" s="66"/>
      <c r="M48" s="66"/>
      <c r="N48" s="66"/>
    </row>
    <row r="49" spans="1:14" ht="21.75" customHeight="1" x14ac:dyDescent="0.55000000000000004">
      <c r="A49" s="60"/>
      <c r="B49" s="61"/>
      <c r="C49" s="67"/>
      <c r="D49" s="61"/>
      <c r="E49" s="79" t="s">
        <v>35</v>
      </c>
      <c r="F49" s="80"/>
      <c r="G49" s="81"/>
      <c r="H49" s="72"/>
      <c r="I49" s="73"/>
      <c r="J49" s="74">
        <f>กระบี่!J49+ชุมพร!J49+ตรัง!J49+นครศรีธรรมราช!J49+นราธิวาส!J49+ปัตตานี!J49+พังงา!J49+พัทลุง!J49+ภูเก็ต!J49+ยะลา!J49+ระนอง!J49+สงขลา!J49+สตูล!J49+สุราษฎร์ธานี!J49</f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1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f>กระบี่!J50+ชุมพร!J50+ตรัง!J50+นครศรีธรรมราช!J50+นราธิวาส!J50+ปัตตานี!J50+พังงา!J50+พัทลุง!J50+ภูเก็ต!J50+ยะลา!J50+ระนอง!J50+สงขลา!J50+สตูล!J50+สุราษฎร์ธานี!J50</f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6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39" t="s">
        <v>49</v>
      </c>
      <c r="C52" s="111"/>
      <c r="D52" s="41"/>
      <c r="E52" s="40"/>
      <c r="F52" s="40"/>
      <c r="G52" s="102"/>
      <c r="H52" s="42" t="s">
        <v>16</v>
      </c>
      <c r="I52" s="43">
        <f ca="1">กระบี่!I52+ชุมพร!I52+ตรัง!I52+นครศรีธรรมราช!I52+นราธิวาส!I52+ปัตตานี!I52+พังงา!I52+พัทลุง!I52+ภูเก็ต!I52+ยะลา!I52+ระนอง!I52+สงขลา!I52+สตูล!I52+สุราษฎร์ธานี!I52</f>
        <v>75</v>
      </c>
      <c r="J52" s="43">
        <f>กระบี่!J52+ชุมพร!J52+ตรัง!J52+นครศรีธรรมราช!J52+นราธิวาส!J52+ปัตตานี!J52+พังงา!J52+พัทลุง!J52+ภูเก็ต!J52+ยะลา!J52+ระนอง!J52+สงขลา!J52+สตูล!J52+สุราษฎร์ธานี!J52</f>
        <v>0</v>
      </c>
      <c r="K52" s="44">
        <f ca="1">IF(I52&gt;0,J52*100/I52,0)</f>
        <v>0</v>
      </c>
      <c r="L52" s="45">
        <f ca="1">กระบี่!L52+ชุมพร!L52+ตรัง!L52+นครศรีธรรมราช!L52+นราธิวาส!L52+ปัตตานี!L52+พังงา!L52+พัทลุง!L52+ภูเก็ต!L52+ยะลา!L52+ระนอง!L52+สงขลา!L52+สตูล!L52+สุราษฎร์ธานี!L52</f>
        <v>324450</v>
      </c>
      <c r="M52" s="45">
        <f>กระบี่!M52+ชุมพร!M52+ตรัง!M52+นครศรีธรรมราช!M52+นราธิวาส!M52+ปัตตานี!M52+พังงา!M52+พัทลุง!M52+ภูเก็ต!M52+ยะลา!M52+ระนอง!M52+สงขลา!M52+สตูล!M52+สุราษฎร์ธานี!M52</f>
        <v>3380</v>
      </c>
      <c r="N52" s="44">
        <f ca="1">IF(L52&gt;0,M52*100/L52,0)</f>
        <v>1.0417629835105564</v>
      </c>
    </row>
    <row r="53" spans="1:14" ht="21.75" customHeight="1" x14ac:dyDescent="0.55000000000000004">
      <c r="A53" s="46"/>
      <c r="B53" s="47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f>กระบี่!L53+ชุมพร!L53+ตรัง!L53+นครศรีธรรมราช!L53+นราธิวาส!L53+ปัตตานี!L53+พังงา!L53+พัทลุง!L53+ภูเก็ต!L53+ยะลา!L53+ระนอง!L53+สงขลา!L53+สตูล!L53+สุราษฎร์ธานี!L53</f>
        <v>0</v>
      </c>
      <c r="M53" s="55">
        <f>กระบี่!M53+ชุมพร!M53+ตรัง!M53+นครศรีธรรมราช!M53+นราธิวาส!M53+ปัตตานี!M53+พังงา!M53+พัทลุง!M53+ภูเก็ต!M53+ยะลา!M53+ระนอง!M53+สงขลา!M53+สตูล!M53+สุราษฎร์ธานี!M53</f>
        <v>0</v>
      </c>
      <c r="N53" s="55">
        <f t="shared" ref="N53:N56" si="6">+IF(L53&gt;0,M53*100/L53,0)</f>
        <v>0</v>
      </c>
    </row>
    <row r="54" spans="1:14" ht="21.75" customHeight="1" x14ac:dyDescent="0.55000000000000004">
      <c r="A54" s="46"/>
      <c r="B54" s="47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ca="1">กระบี่!L54+ชุมพร!L54+ตรัง!L54+นครศรีธรรมราช!L54+นราธิวาส!L54+ปัตตานี!L54+พังงา!L54+พัทลุง!L54+ภูเก็ต!L54+ยะลา!L54+ระนอง!L54+สงขลา!L54+สตูล!L54+สุราษฎร์ธานี!L54</f>
        <v>324450</v>
      </c>
      <c r="M54" s="55">
        <f>กระบี่!M54+ชุมพร!M54+ตรัง!M54+นครศรีธรรมราช!M54+นราธิวาส!M54+ปัตตานี!M54+พังงา!M54+พัทลุง!M54+ภูเก็ต!M54+ยะลา!M54+ระนอง!M54+สงขลา!M54+สตูล!M54+สุราษฎร์ธานี!M54</f>
        <v>3380</v>
      </c>
      <c r="N54" s="55">
        <f t="shared" ca="1" si="6"/>
        <v>1.0417629835105564</v>
      </c>
    </row>
    <row r="55" spans="1:14" ht="21.75" customHeight="1" x14ac:dyDescent="0.55000000000000004">
      <c r="A55" s="46"/>
      <c r="B55" s="47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กระบี่!L55+ชุมพร!L55+ตรัง!L55+นครศรีธรรมราช!L55+นราธิวาส!L55+ปัตตานี!L55+พังงา!L55+พัทลุง!L55+ภูเก็ต!L55+ยะลา!L55+ระนอง!L55+สงขลา!L55+สตูล!L55+สุราษฎร์ธานี!L55</f>
        <v>0</v>
      </c>
      <c r="M55" s="58">
        <f>กระบี่!M55+ชุมพร!M55+ตรัง!M55+นครศรีธรรมราช!M55+นราธิวาส!M55+ปัตตานี!M55+พังงา!M55+พัทลุง!M55+ภูเก็ต!M55+ยะลา!M55+ระนอง!M55+สงขลา!M55+สตูล!M55+สุราษฎร์ธานี!M55</f>
        <v>0</v>
      </c>
      <c r="N55" s="58">
        <f t="shared" ca="1" si="6"/>
        <v>0</v>
      </c>
    </row>
    <row r="56" spans="1:14" ht="21.75" customHeight="1" x14ac:dyDescent="0.55000000000000004">
      <c r="A56" s="46"/>
      <c r="B56" s="47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324450</v>
      </c>
      <c r="M56" s="59">
        <f>กระบี่!M56+ชุมพร!M56+ตรัง!M56+นครศรีธรรมราช!M56+นราธิวาส!M56+ปัตตานี!M56+พังงา!M56+พัทลุง!M56+ภูเก็ต!M56+ยะลา!M56+ระนอง!M56+สงขลา!M56+สตูล!M56+สุราษฎร์ธานี!M56</f>
        <v>3380</v>
      </c>
      <c r="N56" s="58">
        <f t="shared" ca="1" si="6"/>
        <v>1.0417629835105564</v>
      </c>
    </row>
    <row r="57" spans="1:14" ht="21.75" customHeight="1" x14ac:dyDescent="0.55000000000000004">
      <c r="A57" s="60"/>
      <c r="B57" s="61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1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f>กระบี่!J58+ชุมพร!J58+ตรัง!J58+นครศรีธรรมราช!J58+นราธิวาส!J58+ปัตตานี!J58+พังงา!J58+พัทลุง!J58+ภูเก็ต!J58+ยะลา!J58+ระนอง!J58+สงขลา!J58+สตูล!J58+สุราษฎร์ธานี!J58</f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1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f>กระบี่!J59+ชุมพร!J59+ตรัง!J59+นครศรีธรรมราช!J59+นราธิวาส!J59+ปัตตานี!J59+พังงา!J59+พัทลุง!J59+ภูเก็ต!J59+ยะลา!J59+ระนอง!J59+สงขลา!J59+สตูล!J59+สุราษฎร์ธานี!J59</f>
        <v>5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1"/>
      <c r="C60" s="67"/>
      <c r="D60" s="61"/>
      <c r="E60" s="79" t="s">
        <v>28</v>
      </c>
      <c r="F60" s="80"/>
      <c r="G60" s="81"/>
      <c r="H60" s="72"/>
      <c r="I60" s="73"/>
      <c r="J60" s="74">
        <f>กระบี่!J60+ชุมพร!J60+ตรัง!J60+นครศรีธรรมราช!J60+นราธิวาส!J60+ปัตตานี!J60+พังงา!J60+พัทลุง!J60+ภูเก็ต!J60+ยะลา!J60+ระนอง!J60+สงขลา!J60+สตูล!J60+สุราษฎร์ธานี!J60</f>
        <v>3</v>
      </c>
      <c r="K60" s="54"/>
      <c r="L60" s="66"/>
      <c r="M60" s="66"/>
      <c r="N60" s="66"/>
    </row>
    <row r="61" spans="1:14" ht="21.75" customHeight="1" x14ac:dyDescent="0.55000000000000004">
      <c r="A61" s="60"/>
      <c r="B61" s="61"/>
      <c r="C61" s="67"/>
      <c r="D61" s="61"/>
      <c r="E61" s="79" t="s">
        <v>29</v>
      </c>
      <c r="F61" s="80"/>
      <c r="G61" s="81"/>
      <c r="H61" s="72"/>
      <c r="I61" s="73"/>
      <c r="J61" s="74">
        <f>กระบี่!J61+ชุมพร!J61+ตรัง!J61+นครศรีธรรมราช!J61+นราธิวาส!J61+ปัตตานี!J61+พังงา!J61+พัทลุง!J61+ภูเก็ต!J61+ยะลา!J61+ระนอง!J61+สงขลา!J61+สตูล!J61+สุราษฎร์ธานี!J61</f>
        <v>2</v>
      </c>
      <c r="K61" s="54"/>
      <c r="L61" s="66"/>
      <c r="M61" s="66"/>
      <c r="N61" s="66"/>
    </row>
    <row r="62" spans="1:14" ht="21.75" customHeight="1" x14ac:dyDescent="0.55000000000000004">
      <c r="A62" s="60"/>
      <c r="B62" s="61"/>
      <c r="C62" s="67"/>
      <c r="D62" s="61"/>
      <c r="E62" s="82"/>
      <c r="F62" s="79" t="s">
        <v>50</v>
      </c>
      <c r="G62" s="81"/>
      <c r="H62" s="65" t="s">
        <v>16</v>
      </c>
      <c r="I62" s="73">
        <f ca="1">กระบี่!I62+ชุมพร!I62+ตรัง!I62+นครศรีธรรมราช!I62+นราธิวาส!I62+ปัตตานี!I62+พังงา!I62+พัทลุง!I62+ภูเก็ต!I62+ยะลา!I62+ระนอง!I62+สงขลา!I62+สตูล!I62+สุราษฎร์ธานี!I62</f>
        <v>75</v>
      </c>
      <c r="J62" s="74">
        <f>กระบี่!J62+ชุมพร!J62+ตรัง!J62+นครศรีธรรมราช!J62+นราธิวาส!J62+ปัตตานี!J62+พังงา!J62+พัทลุง!J62+ภูเก็ต!J62+ยะลา!J62+ระนอง!J62+สงขลา!J62+สตูล!J62+สุราษฎร์ธานี!J62</f>
        <v>0</v>
      </c>
      <c r="K62" s="54">
        <f t="shared" ref="K62:K63" ca="1" si="7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1"/>
      <c r="C63" s="67"/>
      <c r="D63" s="61"/>
      <c r="E63" s="82"/>
      <c r="F63" s="79" t="s">
        <v>51</v>
      </c>
      <c r="G63" s="81"/>
      <c r="H63" s="65" t="s">
        <v>16</v>
      </c>
      <c r="I63" s="73">
        <f ca="1">กระบี่!I63+ชุมพร!I63+ตรัง!I63+นครศรีธรรมราช!I63+นราธิวาส!I63+ปัตตานี!I63+พังงา!I63+พัทลุง!I63+ภูเก็ต!I63+ยะลา!I63+ระนอง!I63+สงขลา!I63+สตูล!I63+สุราษฎร์ธานี!I63</f>
        <v>75</v>
      </c>
      <c r="J63" s="74">
        <f>กระบี่!J63+ชุมพร!J63+ตรัง!J63+นครศรีธรรมราช!J63+นราธิวาส!J63+ปัตตานี!J63+พังงา!J63+พัทลุง!J63+ภูเก็ต!J63+ยะลา!J63+ระนอง!J63+สงขลา!J63+สตูล!J63+สุราษฎร์ธานี!J63</f>
        <v>0</v>
      </c>
      <c r="K63" s="54">
        <f t="shared" ca="1" si="7"/>
        <v>0</v>
      </c>
      <c r="L63" s="66"/>
      <c r="M63" s="66"/>
      <c r="N63" s="66"/>
    </row>
    <row r="64" spans="1:14" ht="21.75" customHeight="1" x14ac:dyDescent="0.55000000000000004">
      <c r="A64" s="60"/>
      <c r="B64" s="61"/>
      <c r="C64" s="67"/>
      <c r="D64" s="61"/>
      <c r="E64" s="79" t="s">
        <v>35</v>
      </c>
      <c r="F64" s="80"/>
      <c r="G64" s="81"/>
      <c r="H64" s="72"/>
      <c r="I64" s="73"/>
      <c r="J64" s="74">
        <f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3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f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5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4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3" t="s">
        <v>54</v>
      </c>
      <c r="C68" s="144"/>
      <c r="D68" s="145"/>
      <c r="E68" s="145"/>
      <c r="F68" s="145"/>
      <c r="G68" s="146"/>
      <c r="H68" s="147" t="s">
        <v>16</v>
      </c>
      <c r="I68" s="148">
        <f ca="1">กระบี่!I68+ชุมพร!I68+ตรัง!I68+นครศรีธรรมราช!I68+นราธิวาส!I68+ปัตตานี!I68+พังงา!I68+พัทลุง!I68+ภูเก็ต!I68+ยะลา!I68+ระนอง!I68+สงขลา!I68+สตูล!I68+สุราษฎร์ธานี!I68</f>
        <v>160</v>
      </c>
      <c r="J68" s="148">
        <f>กระบี่!J68+ชุมพร!J68+ตรัง!J68+นครศรีธรรมราช!J68+นราธิวาส!J68+ปัตตานี!J68+พังงา!J68+พัทลุง!J68+ภูเก็ต!J68+ยะลา!J68+ระนอง!J68+สงขลา!J68+สตูล!J68+สุราษฎร์ธานี!J68</f>
        <v>15</v>
      </c>
      <c r="K68" s="149">
        <f ca="1">IF(I68&gt;0,J68*100/I68,0)</f>
        <v>9.375</v>
      </c>
      <c r="L68" s="150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2418600</v>
      </c>
      <c r="M68" s="150">
        <f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83489.31</v>
      </c>
      <c r="N68" s="149">
        <f ca="1">IF(L68&gt;0,M68*100/L68,0)</f>
        <v>3.4519684941701811</v>
      </c>
    </row>
    <row r="69" spans="1:14" ht="21.75" customHeight="1" x14ac:dyDescent="0.55000000000000004">
      <c r="A69" s="142"/>
      <c r="B69" s="143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7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f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0</v>
      </c>
      <c r="M70" s="55">
        <f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0</v>
      </c>
      <c r="N70" s="55">
        <f t="shared" ref="N70:N77" si="8">+IF(L70&gt;0,M70*100/L70,0)</f>
        <v>0</v>
      </c>
    </row>
    <row r="71" spans="1:14" ht="21.75" customHeight="1" x14ac:dyDescent="0.55000000000000004">
      <c r="A71" s="46"/>
      <c r="B71" s="47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2418600</v>
      </c>
      <c r="M71" s="151">
        <f>กระบี่!M71+ชุมพร!M71+ตรัง!M71+นครศรีธรรมราช!M71+นราธิวาส!M71+ปัตตานี!M71+พังงา!M71+พัทลุง!M71+ภูเก็ต!M71+ยะลา!M71+ระนอง!M71+สงขลา!M71+สตูล!M71+สุราษฎร์ธานี!M71</f>
        <v>83489.31</v>
      </c>
      <c r="N71" s="55">
        <f t="shared" ca="1" si="8"/>
        <v>3.4519684941701811</v>
      </c>
    </row>
    <row r="72" spans="1:14" ht="21.75" customHeight="1" x14ac:dyDescent="0.55000000000000004">
      <c r="A72" s="46"/>
      <c r="B72" s="47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1111500</v>
      </c>
      <c r="M72" s="59">
        <f>กระบี่!M72+ชุมพร!M72+ตรัง!M72+นครศรีธรรมราช!M72+นราธิวาส!M72+ปัตตานี!M72+พังงา!M72+พัทลุง!M72+ภูเก็ต!M72+ยะลา!M72+ระนอง!M72+สงขลา!M72+สตูล!M72+สุราษฎร์ธานี!M72</f>
        <v>76989.31</v>
      </c>
      <c r="N72" s="58">
        <f t="shared" ca="1" si="8"/>
        <v>6.926613585245164</v>
      </c>
    </row>
    <row r="73" spans="1:14" ht="21.75" customHeight="1" x14ac:dyDescent="0.55000000000000004">
      <c r="A73" s="46"/>
      <c r="B73" s="47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ca="1"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1307100</v>
      </c>
      <c r="M73" s="58">
        <f>กระบี่!M73+ชุมพร!M73+ตรัง!M73+นครศรีธรรมราช!M73+นราธิวาส!M73+ปัตตานี!M73+พังงา!M73+พัทลุง!M73+ภูเก็ต!M73+ยะลา!M73+ระนอง!M73+สงขลา!M73+สตูล!M73+สุราษฎร์ธานี!M73</f>
        <v>6500</v>
      </c>
      <c r="N73" s="58">
        <f t="shared" ca="1" si="8"/>
        <v>0.49728406395838115</v>
      </c>
    </row>
    <row r="74" spans="1:14" ht="21.75" customHeight="1" x14ac:dyDescent="0.55000000000000004">
      <c r="A74" s="152"/>
      <c r="B74" s="153"/>
      <c r="C74" s="154" t="s">
        <v>56</v>
      </c>
      <c r="D74" s="154"/>
      <c r="E74" s="154"/>
      <c r="F74" s="154"/>
      <c r="G74" s="155"/>
      <c r="H74" s="156" t="s">
        <v>57</v>
      </c>
      <c r="I74" s="157">
        <f ca="1">กระบี่!I74+ชุมพร!I74+ตรัง!I74+นครศรีธรรมราช!I74+นราธิวาส!I74+ปัตตานี!I74+พังงา!I74+พัทลุง!I74+ภูเก็ต!I74+ยะลา!I74+ระนอง!I74+สงขลา!I74+สตูล!I74+สุราษฎร์ธานี!I74</f>
        <v>56</v>
      </c>
      <c r="J74" s="157">
        <f>กระบี่!J74+ชุมพร!J74+ตรัง!J74+นครศรีธรรมราช!J74+นราธิวาส!J74+ปัตตานี!J74+พังงา!J74+พัทลุง!J74+ภูเก็ต!J74+ยะลา!J74+ระนอง!J74+สงขลา!J74+สตูล!J74+สุราษฎร์ธานี!J74</f>
        <v>2</v>
      </c>
      <c r="K74" s="158">
        <f ca="1">IF(I74&gt;0,J74*100/I74,0)</f>
        <v>3.5714285714285716</v>
      </c>
      <c r="L74" s="159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105000</v>
      </c>
      <c r="M74" s="159">
        <f>กระบี่!M74+ชุมพร!M74+ตรัง!M74+นครศรีธรรมราช!M74+นราธิวาส!M74+ปัตตานี!M74+พังงา!M74+พัทลุง!M74+ภูเก็ต!M74+ยะลา!M74+ระนอง!M74+สงขลา!M74+สตูล!M74+สุราษฎร์ธานี!M74</f>
        <v>2500</v>
      </c>
      <c r="N74" s="159">
        <f t="shared" ca="1" si="8"/>
        <v>2.3809523809523809</v>
      </c>
    </row>
    <row r="75" spans="1:14" ht="21.75" customHeight="1" x14ac:dyDescent="0.55000000000000004">
      <c r="A75" s="46"/>
      <c r="B75" s="47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f>กระบี่!L75+ชุมพร!L75+ตรัง!L75+นครศรีธรรมราช!L75+นราธิวาส!L75+ปัตตานี!L75+พังงา!L75+พัทลุง!L75+ภูเก็ต!L75+ยะลา!L75+ระนอง!L75+สงขลา!L75+สตูล!L75+สุราษฎร์ธานี!L75</f>
        <v>0</v>
      </c>
      <c r="M75" s="55">
        <f>กระบี่!M75+ชุมพร!M75+ตรัง!M75+นครศรีธรรมราช!M75+นราธิวาส!M75+ปัตตานี!M75+พังงา!M75+พัทลุง!M75+ภูเก็ต!M75+ยะลา!M75+ระนอง!M75+สงขลา!M75+สตูล!M75+สุราษฎร์ธานี!M75</f>
        <v>0</v>
      </c>
      <c r="N75" s="55">
        <f t="shared" si="8"/>
        <v>0</v>
      </c>
    </row>
    <row r="76" spans="1:14" ht="21.75" customHeight="1" x14ac:dyDescent="0.55000000000000004">
      <c r="A76" s="46"/>
      <c r="B76" s="47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ca="1">กระบี่!L76+ชุมพร!L76+ตรัง!L76+นครศรีธรรมราช!L76+นราธิวาส!L76+ปัตตานี!L76+พังงา!L76+พัทลุง!L76+ภูเก็ต!L76+ยะลา!L76+ระนอง!L76+สงขลา!L76+สตูล!L76+สุราษฎร์ธานี!L76</f>
        <v>105000</v>
      </c>
      <c r="M76" s="55">
        <f>กระบี่!M76+ชุมพร!M76+ตรัง!M76+นครศรีธรรมราช!M76+นราธิวาส!M76+ปัตตานี!M76+พังงา!M76+พัทลุง!M76+ภูเก็ต!M76+ยะลา!M76+ระนอง!M76+สงขลา!M76+สตูล!M76+สุราษฎร์ธานี!M76</f>
        <v>2500</v>
      </c>
      <c r="N76" s="55">
        <f t="shared" ca="1" si="8"/>
        <v>2.3809523809523809</v>
      </c>
    </row>
    <row r="77" spans="1:14" ht="21.75" customHeight="1" x14ac:dyDescent="0.55000000000000004">
      <c r="A77" s="46"/>
      <c r="B77" s="47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กระบี่!L77+ชุมพร!L77+ตรัง!L77+นครศรีธรรมราช!L77+นราธิวาส!L77+ปัตตานี!L77+พังงา!L77+พัทลุง!L77+ภูเก็ต!L77+ยะลา!L77+ระนอง!L77+สงขลา!L77+สตูล!L77+สุราษฎร์ธานี!L77</f>
        <v>105000</v>
      </c>
      <c r="M77" s="59">
        <f>กระบี่!M77+ชุมพร!M77+ตรัง!M77+นครศรีธรรมราช!M77+นราธิวาส!M77+ปัตตานี!M77+พังงา!M77+พัทลุง!M77+ภูเก็ต!M77+ยะลา!M77+ระนอง!M77+สงขลา!M77+สตูล!M77+สุราษฎร์ธานี!M77</f>
        <v>2500</v>
      </c>
      <c r="N77" s="58">
        <f t="shared" ca="1" si="8"/>
        <v>2.3809523809523809</v>
      </c>
    </row>
    <row r="78" spans="1:14" ht="21.75" customHeight="1" x14ac:dyDescent="0.55000000000000004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1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f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2</v>
      </c>
      <c r="K79" s="54"/>
      <c r="L79" s="66"/>
      <c r="M79" s="66"/>
      <c r="N79" s="66"/>
    </row>
    <row r="80" spans="1:14" ht="21.75" customHeight="1" x14ac:dyDescent="0.55000000000000004">
      <c r="A80" s="60"/>
      <c r="B80" s="61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f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11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1"/>
      <c r="C81" s="67"/>
      <c r="D81" s="61"/>
      <c r="E81" s="79" t="s">
        <v>28</v>
      </c>
      <c r="F81" s="80"/>
      <c r="G81" s="81"/>
      <c r="H81" s="72"/>
      <c r="I81" s="73"/>
      <c r="J81" s="74">
        <f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10</v>
      </c>
      <c r="K81" s="54"/>
      <c r="L81" s="66"/>
      <c r="M81" s="66"/>
      <c r="N81" s="66"/>
    </row>
    <row r="82" spans="1:14" ht="21.75" customHeight="1" x14ac:dyDescent="0.55000000000000004">
      <c r="A82" s="60"/>
      <c r="B82" s="61"/>
      <c r="C82" s="67"/>
      <c r="D82" s="61"/>
      <c r="E82" s="79" t="s">
        <v>29</v>
      </c>
      <c r="F82" s="80"/>
      <c r="G82" s="81"/>
      <c r="H82" s="72"/>
      <c r="I82" s="73"/>
      <c r="J82" s="74">
        <f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7</v>
      </c>
      <c r="K82" s="54"/>
      <c r="L82" s="66"/>
      <c r="M82" s="66"/>
      <c r="N82" s="66"/>
    </row>
    <row r="83" spans="1:14" ht="21.75" customHeight="1" x14ac:dyDescent="0.55000000000000004">
      <c r="A83" s="60"/>
      <c r="B83" s="61"/>
      <c r="C83" s="67"/>
      <c r="D83" s="61"/>
      <c r="E83" s="82"/>
      <c r="F83" s="79" t="s">
        <v>58</v>
      </c>
      <c r="G83" s="81"/>
      <c r="H83" s="65" t="s">
        <v>57</v>
      </c>
      <c r="I83" s="73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56</v>
      </c>
      <c r="J83" s="74">
        <f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2</v>
      </c>
      <c r="K83" s="54">
        <f ca="1">IF(I83&gt;0,J83*100/I83,0)</f>
        <v>3.5714285714285716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22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74">
        <f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22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74">
        <f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1"/>
      <c r="C87" s="67"/>
      <c r="D87" s="61"/>
      <c r="E87" s="79" t="s">
        <v>35</v>
      </c>
      <c r="F87" s="80"/>
      <c r="G87" s="81"/>
      <c r="H87" s="72"/>
      <c r="I87" s="73"/>
      <c r="J87" s="74">
        <f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1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f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153"/>
      <c r="C89" s="154" t="s">
        <v>62</v>
      </c>
      <c r="D89" s="154"/>
      <c r="E89" s="154"/>
      <c r="F89" s="154"/>
      <c r="G89" s="155"/>
      <c r="H89" s="160" t="s">
        <v>63</v>
      </c>
      <c r="I89" s="161">
        <f ca="1">กระบี่!I89+ชุมพร!I89+ตรัง!I89+นครศรีธรรมราช!I89+นราธิวาส!I89+ปัตตานี!I89+พังงา!I89+พัทลุง!I89+ภูเก็ต!I89+ยะลา!I89+ระนอง!I89+สงขลา!I89+สตูล!I89+สุราษฎร์ธานี!I89</f>
        <v>35</v>
      </c>
      <c r="J89" s="161">
        <f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2">
        <f ca="1">IF(I89&gt;0,J89*100/I89,0)</f>
        <v>0</v>
      </c>
      <c r="L89" s="159">
        <f ca="1">กระบี่!L89+ชุมพร!L89+ตรัง!L89+นครศรีธรรมราช!L89+นราธิวาส!L89+ปัตตานี!L89+พังงา!L89+พัทลุง!L89+ภูเก็ต!L89+ยะลา!L89+ระนอง!L89+สงขลา!L89+สตูล!L89+สุราษฎร์ธานี!L89</f>
        <v>490000</v>
      </c>
      <c r="M89" s="159">
        <f>กระบี่!M89+ชุมพร!M89+ตรัง!M89+นครศรีธรรมราช!M89+นราธิวาส!M89+ปัตตานี!M89+พังงา!M89+พัทลุง!M89+ภูเก็ต!M89+ยะลา!M89+ระนอง!M89+สงขลา!M89+สตูล!M89+สุราษฎร์ธานี!M89</f>
        <v>4000</v>
      </c>
      <c r="N89" s="159">
        <f t="shared" ref="N89:N92" ca="1" si="9">+IF(L89&gt;0,M89*100/L89,0)</f>
        <v>0.81632653061224492</v>
      </c>
    </row>
    <row r="90" spans="1:14" ht="21.75" customHeight="1" x14ac:dyDescent="0.55000000000000004">
      <c r="A90" s="46"/>
      <c r="B90" s="47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f>กระบี่!L90+ชุมพร!L90+ตรัง!L90+นครศรีธรรมราช!L90+นราธิวาส!L90+ปัตตานี!L90+พังงา!L90+พัทลุง!L90+ภูเก็ต!L90+ยะลา!L90+ระนอง!L90+สงขลา!L90+สตูล!L90+สุราษฎร์ธานี!L90</f>
        <v>0</v>
      </c>
      <c r="M90" s="55">
        <f>กระบี่!M90+ชุมพร!M90+ตรัง!M90+นครศรีธรรมราช!M90+นราธิวาส!M90+ปัตตานี!M90+พังงา!M90+พัทลุง!M90+ภูเก็ต!M90+ยะลา!M90+ระนอง!M90+สงขลา!M90+สตูล!M90+สุราษฎร์ธานี!M90</f>
        <v>0</v>
      </c>
      <c r="N90" s="55">
        <f t="shared" si="9"/>
        <v>0</v>
      </c>
    </row>
    <row r="91" spans="1:14" ht="21.75" customHeight="1" x14ac:dyDescent="0.55000000000000004">
      <c r="A91" s="46"/>
      <c r="B91" s="47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ca="1">กระบี่!L91+ชุมพร!L91+ตรัง!L91+นครศรีธรรมราช!L91+นราธิวาส!L91+ปัตตานี!L91+พังงา!L91+พัทลุง!L91+ภูเก็ต!L91+ยะลา!L91+ระนอง!L91+สงขลา!L91+สตูล!L91+สุราษฎร์ธานี!L91</f>
        <v>490000</v>
      </c>
      <c r="M91" s="55">
        <f>กระบี่!M91+ชุมพร!M91+ตรัง!M91+นครศรีธรรมราช!M91+นราธิวาส!M91+ปัตตานี!M91+พังงา!M91+พัทลุง!M91+ภูเก็ต!M91+ยะลา!M91+ระนอง!M91+สงขลา!M91+สตูล!M91+สุราษฎร์ธานี!M91</f>
        <v>4000</v>
      </c>
      <c r="N91" s="55">
        <f t="shared" ca="1" si="9"/>
        <v>0.81632653061224492</v>
      </c>
    </row>
    <row r="92" spans="1:14" ht="21.75" customHeight="1" x14ac:dyDescent="0.55000000000000004">
      <c r="A92" s="46"/>
      <c r="B92" s="47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กระบี่!L92+ชุมพร!L92+ตรัง!L92+นครศรีธรรมราช!L92+นราธิวาส!L92+ปัตตานี!L92+พังงา!L92+พัทลุง!L92+ภูเก็ต!L92+ยะลา!L92+ระนอง!L92+สงขลา!L92+สตูล!L92+สุราษฎร์ธานี!L92</f>
        <v>490000</v>
      </c>
      <c r="M92" s="59">
        <f>กระบี่!M92+ชุมพร!M92+ตรัง!M92+นครศรีธรรมราช!M92+นราธิวาส!M92+ปัตตานี!M92+พังงา!M92+พัทลุง!M92+ภูเก็ต!M92+ยะลา!M92+ระนอง!M92+สงขลา!M92+สตูล!M92+สุราษฎร์ธานี!M92</f>
        <v>4000</v>
      </c>
      <c r="N92" s="58">
        <f t="shared" ca="1" si="9"/>
        <v>0.81632653061224492</v>
      </c>
    </row>
    <row r="93" spans="1:14" ht="21.75" customHeight="1" x14ac:dyDescent="0.55000000000000004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1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f>กระบี่!J94+ชุมพร!J94+ตรัง!J94+นครศรีธรรมราช!J94+นราธิวาส!J94+ปัตตานี!J94+พังงา!J94+พัทลุง!J94+ภูเก็ต!J94+ยะลา!J94+ระนอง!J94+สงขลา!J94+สตูล!J94+สุราษฎร์ธานี!J94</f>
        <v>2</v>
      </c>
      <c r="K94" s="54"/>
      <c r="L94" s="66"/>
      <c r="M94" s="66"/>
      <c r="N94" s="66"/>
    </row>
    <row r="95" spans="1:14" ht="21.75" customHeight="1" x14ac:dyDescent="0.55000000000000004">
      <c r="A95" s="60"/>
      <c r="B95" s="61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f>กระบี่!J95+ชุมพร!J95+ตรัง!J95+นครศรีธรรมราช!J95+นราธิวาส!J95+ปัตตานี!J95+พังงา!J95+พัทลุง!J95+ภูเก็ต!J95+ยะลา!J95+ระนอง!J95+สงขลา!J95+สตูล!J95+สุราษฎร์ธานี!J95</f>
        <v>12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1"/>
      <c r="C96" s="67"/>
      <c r="D96" s="61"/>
      <c r="E96" s="79" t="s">
        <v>28</v>
      </c>
      <c r="F96" s="80"/>
      <c r="G96" s="81"/>
      <c r="H96" s="72"/>
      <c r="I96" s="73"/>
      <c r="J96" s="74">
        <f>กระบี่!J96+ชุมพร!J96+ตรัง!J96+นครศรีธรรมราช!J96+นราธิวาส!J96+ปัตตานี!J96+พังงา!J96+พัทลุง!J96+ภูเก็ต!J96+ยะลา!J96+ระนอง!J96+สงขลา!J96+สตูล!J96+สุราษฎร์ธานี!J96</f>
        <v>11</v>
      </c>
      <c r="K96" s="54"/>
      <c r="L96" s="66"/>
      <c r="M96" s="66"/>
      <c r="N96" s="66"/>
    </row>
    <row r="97" spans="1:14" ht="21.75" customHeight="1" x14ac:dyDescent="0.55000000000000004">
      <c r="A97" s="60"/>
      <c r="B97" s="61"/>
      <c r="C97" s="67"/>
      <c r="D97" s="61"/>
      <c r="E97" s="79" t="s">
        <v>29</v>
      </c>
      <c r="F97" s="80"/>
      <c r="G97" s="81"/>
      <c r="H97" s="72"/>
      <c r="I97" s="73"/>
      <c r="J97" s="74">
        <f>กระบี่!J97+ชุมพร!J97+ตรัง!J97+นครศรีธรรมราช!J97+นราธิวาส!J97+ปัตตานี!J97+พังงา!J97+พัทลุง!J97+ภูเก็ต!J97+ยะลา!J97+ระนอง!J97+สงขลา!J97+สตูล!J97+สุราษฎร์ธานี!J97</f>
        <v>9</v>
      </c>
      <c r="K97" s="54"/>
      <c r="L97" s="66"/>
      <c r="M97" s="66"/>
      <c r="N97" s="66"/>
    </row>
    <row r="98" spans="1:14" ht="21.75" customHeight="1" x14ac:dyDescent="0.55000000000000004">
      <c r="A98" s="60"/>
      <c r="B98" s="61"/>
      <c r="C98" s="67"/>
      <c r="D98" s="61"/>
      <c r="E98" s="82"/>
      <c r="F98" s="79" t="s">
        <v>64</v>
      </c>
      <c r="G98" s="81"/>
      <c r="H98" s="65" t="s">
        <v>63</v>
      </c>
      <c r="I98" s="73">
        <f ca="1">กระบี่!I98+ชุมพร!I98+ตรัง!I98+นครศรีธรรมราช!I98+นราธิวาส!I98+ปัตตานี!I98+พังงา!I98+พัทลุง!I98+ภูเก็ต!I98+ยะลา!I98+ระนอง!I98+สงขลา!I98+สตูล!I98+สุราษฎร์ธานี!I98</f>
        <v>35</v>
      </c>
      <c r="J98" s="74">
        <f>กระบี่!J98+ชุมพร!J98+ตรัง!J98+นครศรีธรรมราช!J98+นราธิวาส!J98+ปัตตานี!J98+พังงา!J98+พัทลุง!J98+ภูเก็ต!J98+ยะลา!J98+ระนอง!J98+สงขลา!J98+สตูล!J98+สุราษฎร์ธานี!J98</f>
        <v>0</v>
      </c>
      <c r="K98" s="54">
        <f ca="1">IF(I98&gt;0,J98*100/I98,0)</f>
        <v>0</v>
      </c>
      <c r="L98" s="66"/>
      <c r="M98" s="66"/>
      <c r="N98" s="66"/>
    </row>
    <row r="99" spans="1:14" ht="21.75" customHeight="1" x14ac:dyDescent="0.55000000000000004">
      <c r="A99" s="60"/>
      <c r="B99" s="61"/>
      <c r="C99" s="67"/>
      <c r="D99" s="61"/>
      <c r="E99" s="79" t="s">
        <v>35</v>
      </c>
      <c r="F99" s="80"/>
      <c r="G99" s="81"/>
      <c r="H99" s="72"/>
      <c r="I99" s="73"/>
      <c r="J99" s="74">
        <f>กระบี่!J99+ชุมพร!J99+ตรัง!J99+นครศรีธรรมราช!J99+นราธิวาส!J99+ปัตตานี!J99+พังงา!J99+พัทลุง!J99+ภูเก็ต!J99+ยะลา!J99+ระนอง!J99+สงขลา!J99+สตูล!J99+สุราษฎร์ธานี!J99</f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1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f>กระบี่!J100+ชุมพร!J100+ตรัง!J100+นครศรีธรรมราช!J100+นราธิวาส!J100+ปัตตานี!J100+พังงา!J100+พัทลุง!J100+ภูเก็ต!J100+ยะลา!J100+ระนอง!J100+สงขลา!J100+สตูล!J100+สุราษฎร์ธานี!J100</f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153"/>
      <c r="C101" s="154" t="s">
        <v>65</v>
      </c>
      <c r="D101" s="154"/>
      <c r="E101" s="154"/>
      <c r="F101" s="154"/>
      <c r="G101" s="155"/>
      <c r="H101" s="160" t="s">
        <v>63</v>
      </c>
      <c r="I101" s="161">
        <f ca="1">กระบี่!I101+ชุมพร!I101+ตรัง!I101+นครศรีธรรมราช!I101+นราธิวาส!I101+ปัตตานี!I101+พังงา!I101+พัทลุง!I101+ภูเก็ต!I101+ยะลา!I101+ระนอง!I101+สงขลา!I101+สตูล!I101+สุราษฎร์ธานี!I101</f>
        <v>10</v>
      </c>
      <c r="J101" s="161">
        <f>กระบี่!J101+ชุมพร!J101+ตรัง!J101+นครศรีธรรมราช!J101+นราธิวาส!J101+ปัตตานี!J101+พังงา!J101+พัทลุง!J101+ภูเก็ต!J101+ยะลา!J101+ระนอง!J101+สงขลา!J101+สตูล!J101+สุราษฎร์ธานี!J101</f>
        <v>0</v>
      </c>
      <c r="K101" s="162">
        <f ca="1">IF(I101&gt;0,J101*100/I101,0)</f>
        <v>0</v>
      </c>
      <c r="L101" s="159">
        <f ca="1"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150000</v>
      </c>
      <c r="M101" s="159">
        <f>กระบี่!M101+ชุมพร!M101+ตรัง!M101+นครศรีธรรมราช!M101+นราธิวาส!M101+ปัตตานี!M101+พังงา!M101+พัทลุง!M101+ภูเก็ต!M101+ยะลา!M101+ระนอง!M101+สงขลา!M101+สตูล!M101+สุราษฎร์ธานี!M101</f>
        <v>0</v>
      </c>
      <c r="N101" s="159">
        <f t="shared" ref="N101:N104" ca="1" si="10">+IF(L101&gt;0,M101*100/L101,0)</f>
        <v>0</v>
      </c>
    </row>
    <row r="102" spans="1:14" ht="21.75" customHeight="1" x14ac:dyDescent="0.55000000000000004">
      <c r="A102" s="46"/>
      <c r="B102" s="47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f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0</v>
      </c>
      <c r="M102" s="55">
        <f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0</v>
      </c>
      <c r="N102" s="55">
        <f t="shared" si="10"/>
        <v>0</v>
      </c>
    </row>
    <row r="103" spans="1:14" ht="21.75" customHeight="1" x14ac:dyDescent="0.55000000000000004">
      <c r="A103" s="46"/>
      <c r="B103" s="47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กระบี่!L103+ชุมพร!L103+ตรัง!L103+นครศรีธรรมราช!L103+นราธิวาส!L103+ปัตตานี!L103+พังงา!L103+พัทลุง!L103+ภูเก็ต!L103+ยะลา!L103+ระนอง!L103+สงขลา!L103+สตูล!L103+สุราษฎร์ธานี!L103</f>
        <v>150000</v>
      </c>
      <c r="M103" s="55">
        <f>กระบี่!M103+ชุมพร!M103+ตรัง!M103+นครศรีธรรมราช!M103+นราธิวาส!M103+ปัตตานี!M103+พังงา!M103+พัทลุง!M103+ภูเก็ต!M103+ยะลา!M103+ระนอง!M103+สงขลา!M103+สตูล!M103+สุราษฎร์ธานี!M103</f>
        <v>0</v>
      </c>
      <c r="N103" s="55">
        <f t="shared" ca="1" si="10"/>
        <v>0</v>
      </c>
    </row>
    <row r="104" spans="1:14" ht="21.75" customHeight="1" x14ac:dyDescent="0.55000000000000004">
      <c r="A104" s="46"/>
      <c r="B104" s="47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กระบี่!L104+ชุมพร!L104+ตรัง!L104+นครศรีธรรมราช!L104+นราธิวาส!L104+ปัตตานี!L104+พังงา!L104+พัทลุง!L104+ภูเก็ต!L104+ยะลา!L104+ระนอง!L104+สงขลา!L104+สตูล!L104+สุราษฎร์ธานี!L104</f>
        <v>150000</v>
      </c>
      <c r="M104" s="59">
        <f>กระบี่!M104+ชุมพร!M104+ตรัง!M104+นครศรีธรรมราช!M104+นราธิวาส!M104+ปัตตานี!M104+พังงา!M104+พัทลุง!M104+ภูเก็ต!M104+ยะลา!M104+ระนอง!M104+สงขลา!M104+สตูล!M104+สุราษฎร์ธานี!M104</f>
        <v>0</v>
      </c>
      <c r="N104" s="58">
        <f t="shared" ca="1" si="10"/>
        <v>0</v>
      </c>
    </row>
    <row r="105" spans="1:14" ht="21.75" customHeight="1" x14ac:dyDescent="0.55000000000000004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55000000000000004">
      <c r="A106" s="60"/>
      <c r="B106" s="61"/>
      <c r="C106" s="67"/>
      <c r="D106" s="68">
        <v>1</v>
      </c>
      <c r="E106" s="69" t="s">
        <v>26</v>
      </c>
      <c r="F106" s="70"/>
      <c r="G106" s="71"/>
      <c r="H106" s="72"/>
      <c r="I106" s="73"/>
      <c r="J106" s="74">
        <f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0</v>
      </c>
      <c r="K106" s="54"/>
      <c r="L106" s="66"/>
      <c r="M106" s="66"/>
      <c r="N106" s="66"/>
    </row>
    <row r="107" spans="1:14" ht="21.75" customHeight="1" x14ac:dyDescent="0.55000000000000004">
      <c r="A107" s="60"/>
      <c r="B107" s="61"/>
      <c r="C107" s="67"/>
      <c r="D107" s="75">
        <v>2</v>
      </c>
      <c r="E107" s="76" t="s">
        <v>27</v>
      </c>
      <c r="F107" s="77"/>
      <c r="G107" s="78"/>
      <c r="H107" s="72"/>
      <c r="I107" s="73"/>
      <c r="J107" s="74">
        <f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3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55000000000000004">
      <c r="A108" s="60"/>
      <c r="B108" s="61"/>
      <c r="C108" s="67"/>
      <c r="D108" s="61"/>
      <c r="E108" s="79" t="s">
        <v>28</v>
      </c>
      <c r="F108" s="80"/>
      <c r="G108" s="81"/>
      <c r="H108" s="72"/>
      <c r="I108" s="73"/>
      <c r="J108" s="74">
        <f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54"/>
      <c r="L108" s="66"/>
      <c r="M108" s="66"/>
      <c r="N108" s="66"/>
    </row>
    <row r="109" spans="1:14" ht="21.75" customHeight="1" x14ac:dyDescent="0.55000000000000004">
      <c r="A109" s="60"/>
      <c r="B109" s="61"/>
      <c r="C109" s="67"/>
      <c r="D109" s="61"/>
      <c r="E109" s="79" t="s">
        <v>29</v>
      </c>
      <c r="F109" s="80"/>
      <c r="G109" s="81"/>
      <c r="H109" s="72"/>
      <c r="I109" s="73"/>
      <c r="J109" s="74">
        <f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</v>
      </c>
      <c r="K109" s="54"/>
      <c r="L109" s="66"/>
      <c r="M109" s="66"/>
      <c r="N109" s="66"/>
    </row>
    <row r="110" spans="1:14" ht="21.75" customHeight="1" x14ac:dyDescent="0.55000000000000004">
      <c r="A110" s="60"/>
      <c r="B110" s="61"/>
      <c r="C110" s="67"/>
      <c r="D110" s="61"/>
      <c r="E110" s="82"/>
      <c r="F110" s="79" t="s">
        <v>66</v>
      </c>
      <c r="G110" s="81"/>
      <c r="H110" s="65" t="s">
        <v>63</v>
      </c>
      <c r="I110" s="73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10</v>
      </c>
      <c r="J110" s="74">
        <f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0</v>
      </c>
      <c r="K110" s="54">
        <f t="shared" ref="K110:K111" ca="1" si="11">IF(I110&gt;0,J110*100/I110,0)</f>
        <v>0</v>
      </c>
      <c r="L110" s="66"/>
      <c r="M110" s="66"/>
      <c r="N110" s="66"/>
    </row>
    <row r="111" spans="1:14" ht="21.75" customHeight="1" x14ac:dyDescent="0.55000000000000004">
      <c r="A111" s="60"/>
      <c r="B111" s="61"/>
      <c r="C111" s="67"/>
      <c r="D111" s="61"/>
      <c r="E111" s="82"/>
      <c r="F111" s="79" t="s">
        <v>67</v>
      </c>
      <c r="G111" s="81"/>
      <c r="H111" s="65" t="s">
        <v>63</v>
      </c>
      <c r="I111" s="73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10</v>
      </c>
      <c r="J111" s="74">
        <f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0</v>
      </c>
      <c r="K111" s="54">
        <f t="shared" ca="1" si="11"/>
        <v>0</v>
      </c>
      <c r="L111" s="66"/>
      <c r="M111" s="66"/>
      <c r="N111" s="66"/>
    </row>
    <row r="112" spans="1:14" ht="21.75" customHeight="1" x14ac:dyDescent="0.55000000000000004">
      <c r="A112" s="60"/>
      <c r="B112" s="61"/>
      <c r="C112" s="67"/>
      <c r="D112" s="61"/>
      <c r="E112" s="79" t="s">
        <v>35</v>
      </c>
      <c r="F112" s="80"/>
      <c r="G112" s="81"/>
      <c r="H112" s="72"/>
      <c r="I112" s="73"/>
      <c r="J112" s="74">
        <f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54"/>
      <c r="L112" s="66"/>
      <c r="M112" s="66"/>
      <c r="N112" s="66"/>
    </row>
    <row r="113" spans="1:14" ht="21.75" customHeight="1" x14ac:dyDescent="0.55000000000000004">
      <c r="A113" s="60"/>
      <c r="B113" s="61"/>
      <c r="C113" s="67"/>
      <c r="D113" s="86">
        <v>3</v>
      </c>
      <c r="E113" s="87" t="s">
        <v>36</v>
      </c>
      <c r="F113" s="88"/>
      <c r="G113" s="89"/>
      <c r="H113" s="72"/>
      <c r="I113" s="73"/>
      <c r="J113" s="90">
        <f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0</v>
      </c>
      <c r="K113" s="54"/>
      <c r="L113" s="66"/>
      <c r="M113" s="66"/>
      <c r="N113" s="66"/>
    </row>
    <row r="114" spans="1:14" ht="21.75" customHeight="1" x14ac:dyDescent="0.55000000000000004">
      <c r="A114" s="152"/>
      <c r="B114" s="153"/>
      <c r="C114" s="154" t="s">
        <v>68</v>
      </c>
      <c r="D114" s="154"/>
      <c r="E114" s="154"/>
      <c r="F114" s="154"/>
      <c r="G114" s="155"/>
      <c r="H114" s="163" t="s">
        <v>69</v>
      </c>
      <c r="I114" s="161">
        <f ca="1">กระบี่!I114+ชุมพร!I114+ตรัง!I114+นครศรีธรรมราช!I114+นราธิวาส!I114+ปัตตานี!I114+พังงา!I114+พัทลุง!I114+ภูเก็ต!I114+ยะลา!I114+ระนอง!I114+สงขลา!I114+สตูล!I114+สุราษฎร์ธานี!I114</f>
        <v>239000</v>
      </c>
      <c r="J114" s="161">
        <f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162">
        <f ca="1">IF(I114&gt;0,J114*100/I114,0)</f>
        <v>0</v>
      </c>
      <c r="L114" s="159">
        <f ca="1">กระบี่!L114+ชุมพร!L114+ตรัง!L114+นครศรีธรรมราช!L114+นราธิวาส!L114+ปัตตานี!L114+พังงา!L114+พัทลุง!L114+ภูเก็ต!L114+ยะลา!L114+ระนอง!L114+สงขลา!L114+สตูล!L114+สุราษฎร์ธานี!L114</f>
        <v>186600</v>
      </c>
      <c r="M114" s="159">
        <f>กระบี่!M114+ชุมพร!M114+ตรัง!M114+นครศรีธรรมราช!M114+นราธิวาส!M114+ปัตตานี!M114+พังงา!M114+พัทลุง!M114+ภูเก็ต!M114+ยะลา!M114+ระนอง!M114+สงขลา!M114+สตูล!M114+สุราษฎร์ธานี!M114</f>
        <v>0</v>
      </c>
      <c r="N114" s="159">
        <f t="shared" ref="N114:N117" ca="1" si="12">+IF(L114&gt;0,M114*100/L114,0)</f>
        <v>0</v>
      </c>
    </row>
    <row r="115" spans="1:14" ht="21.75" customHeight="1" x14ac:dyDescent="0.55000000000000004">
      <c r="A115" s="46"/>
      <c r="B115" s="47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f>กระบี่!L115+ชุมพร!L115+ตรัง!L115+นครศรีธรรมราช!L115+นราธิวาส!L115+ปัตตานี!L115+พังงา!L115+พัทลุง!L115+ภูเก็ต!L115+ยะลา!L115+ระนอง!L115+สงขลา!L115+สตูล!L115+สุราษฎร์ธานี!L115</f>
        <v>0</v>
      </c>
      <c r="M115" s="55">
        <f>กระบี่!M115+ชุมพร!M115+ตรัง!M115+นครศรีธรรมราช!M115+นราธิวาส!M115+ปัตตานี!M115+พังงา!M115+พัทลุง!M115+ภูเก็ต!M115+ยะลา!M115+ระนอง!M115+สงขลา!M115+สตูล!M115+สุราษฎร์ธานี!M115</f>
        <v>0</v>
      </c>
      <c r="N115" s="55">
        <f t="shared" si="12"/>
        <v>0</v>
      </c>
    </row>
    <row r="116" spans="1:14" ht="21.75" customHeight="1" x14ac:dyDescent="0.55000000000000004">
      <c r="A116" s="46"/>
      <c r="B116" s="47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กระบี่!L116+ชุมพร!L116+ตรัง!L116+นครศรีธรรมราช!L116+นราธิวาส!L116+ปัตตานี!L116+พังงา!L116+พัทลุง!L116+ภูเก็ต!L116+ยะลา!L116+ระนอง!L116+สงขลา!L116+สตูล!L116+สุราษฎร์ธานี!L116</f>
        <v>186600</v>
      </c>
      <c r="M116" s="55">
        <f>กระบี่!M116+ชุมพร!M116+ตรัง!M116+นครศรีธรรมราช!M116+นราธิวาส!M116+ปัตตานี!M116+พังงา!M116+พัทลุง!M116+ภูเก็ต!M116+ยะลา!M116+ระนอง!M116+สงขลา!M116+สตูล!M116+สุราษฎร์ธานี!M116</f>
        <v>0</v>
      </c>
      <c r="N116" s="55">
        <f t="shared" ca="1" si="12"/>
        <v>0</v>
      </c>
    </row>
    <row r="117" spans="1:14" ht="21.75" customHeight="1" x14ac:dyDescent="0.55000000000000004">
      <c r="A117" s="46"/>
      <c r="B117" s="47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กระบี่!L117+ชุมพร!L117+ตรัง!L117+นครศรีธรรมราช!L117+นราธิวาส!L117+ปัตตานี!L117+พังงา!L117+พัทลุง!L117+ภูเก็ต!L117+ยะลา!L117+ระนอง!L117+สงขลา!L117+สตูล!L117+สุราษฎร์ธานี!L117</f>
        <v>186600</v>
      </c>
      <c r="M117" s="59">
        <f>กระบี่!M117+ชุมพร!M117+ตรัง!M117+นครศรีธรรมราช!M117+นราธิวาส!M117+ปัตตานี!M117+พังงา!M117+พัทลุง!M117+ภูเก็ต!M117+ยะลา!M117+ระนอง!M117+สงขลา!M117+สตูล!M117+สุราษฎร์ธานี!M117</f>
        <v>0</v>
      </c>
      <c r="N117" s="58">
        <f t="shared" ca="1" si="12"/>
        <v>0</v>
      </c>
    </row>
    <row r="118" spans="1:14" ht="21.75" customHeight="1" x14ac:dyDescent="0.55000000000000004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1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f>กระบี่!J119+ชุมพร!J119+ตรัง!J119+นครศรีธรรมราช!J119+นราธิวาส!J119+ปัตตานี!J119+พังงา!J119+พัทลุง!J119+ภูเก็ต!J119+ยะลา!J119+ระนอง!J119+สงขลา!J119+สตูล!J119+สุราษฎร์ธานี!J119</f>
        <v>6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1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f>กระบี่!J120+ชุมพร!J120+ตรัง!J120+นครศรีธรรมราช!J120+นราธิวาส!J120+ปัตตานี!J120+พังงา!J120+พัทลุง!J120+ภูเก็ต!J120+ยะลา!J120+ระนอง!J120+สงขลา!J120+สตูล!J120+สุราษฎร์ธานี!J120</f>
        <v>7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1"/>
      <c r="C121" s="67"/>
      <c r="D121" s="61"/>
      <c r="E121" s="79" t="s">
        <v>28</v>
      </c>
      <c r="F121" s="80"/>
      <c r="G121" s="81"/>
      <c r="H121" s="72"/>
      <c r="I121" s="73"/>
      <c r="J121" s="74">
        <f>กระบี่!J121+ชุมพร!J121+ตรัง!J121+นครศรีธรรมราช!J121+นราธิวาส!J121+ปัตตานี!J121+พังงา!J121+พัทลุง!J121+ภูเก็ต!J121+ยะลา!J121+ระนอง!J121+สงขลา!J121+สตูล!J121+สุราษฎร์ธานี!J121</f>
        <v>4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1"/>
      <c r="C122" s="67"/>
      <c r="D122" s="61"/>
      <c r="E122" s="79" t="s">
        <v>29</v>
      </c>
      <c r="F122" s="80"/>
      <c r="G122" s="81"/>
      <c r="H122" s="72"/>
      <c r="I122" s="73"/>
      <c r="J122" s="74">
        <f>กระบี่!J122+ชุมพร!J122+ตรัง!J122+นครศรีธรรมราช!J122+นราธิวาส!J122+ปัตตานี!J122+พังงา!J122+พัทลุง!J122+ภูเก็ต!J122+ยะลา!J122+ระนอง!J122+สงขลา!J122+สตูล!J122+สุราษฎร์ธานี!J122</f>
        <v>4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1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1"/>
      <c r="C124" s="67"/>
      <c r="D124" s="61"/>
      <c r="E124" s="82"/>
      <c r="F124" s="80"/>
      <c r="G124" s="79" t="s">
        <v>71</v>
      </c>
      <c r="H124" s="65" t="s">
        <v>69</v>
      </c>
      <c r="I124" s="73">
        <f ca="1">กระบี่!I124+ชุมพร!I124+ตรัง!I124+นครศรีธรรมราช!I124+นราธิวาส!I124+ปัตตานี!I124+พังงา!I124+พัทลุง!I124+ภูเก็ต!I124+ยะลา!I124+ระนอง!I124+สงขลา!I124+สตูล!I124+สุราษฎร์ธานี!I124</f>
        <v>239000</v>
      </c>
      <c r="J124" s="74">
        <f>กระบี่!J124+ชุมพร!J124+ตรัง!J124+นครศรีธรรมราช!J124+นราธิวาส!J124+ปัตตานี!J124+พังงา!J124+พัทลุง!J124+ภูเก็ต!J124+ยะลา!J124+ระนอง!J124+สงขลา!J124+สตูล!J124+สุราษฎร์ธานี!J124</f>
        <v>1</v>
      </c>
      <c r="K124" s="54">
        <f t="shared" ref="K124:K126" ca="1" si="13">IF(I124&gt;0,J124*100/I124,0)</f>
        <v>4.1841004184100416E-4</v>
      </c>
      <c r="L124" s="66"/>
      <c r="M124" s="66"/>
      <c r="N124" s="66"/>
    </row>
    <row r="125" spans="1:14" ht="21.75" customHeight="1" x14ac:dyDescent="0.55000000000000004">
      <c r="A125" s="60"/>
      <c r="B125" s="61"/>
      <c r="C125" s="67"/>
      <c r="D125" s="61"/>
      <c r="E125" s="82"/>
      <c r="F125" s="80"/>
      <c r="G125" s="79" t="s">
        <v>72</v>
      </c>
      <c r="H125" s="65" t="s">
        <v>69</v>
      </c>
      <c r="I125" s="73">
        <f ca="1">กระบี่!I125+ชุมพร!I125+ตรัง!I125+นครศรีธรรมราช!I125+นราธิวาส!I125+ปัตตานี!I125+พังงา!I125+พัทลุง!I125+ภูเก็ต!I125+ยะลา!I125+ระนอง!I125+สงขลา!I125+สตูล!I125+สุราษฎร์ธานี!I125</f>
        <v>239000</v>
      </c>
      <c r="J125" s="74">
        <f>กระบี่!J125+ชุมพร!J125+ตรัง!J125+นครศรีธรรมราช!J125+นราธิวาส!J125+ปัตตานี!J125+พังงา!J125+พัทลุง!J125+ภูเก็ต!J125+ยะลา!J125+ระนอง!J125+สงขลา!J125+สตูล!J125+สุราษฎร์ธานี!J125</f>
        <v>0</v>
      </c>
      <c r="K125" s="54">
        <f t="shared" ca="1" si="13"/>
        <v>0</v>
      </c>
      <c r="L125" s="66"/>
      <c r="M125" s="66"/>
      <c r="N125" s="66"/>
    </row>
    <row r="126" spans="1:14" ht="21.75" customHeight="1" x14ac:dyDescent="0.55000000000000004">
      <c r="A126" s="60"/>
      <c r="B126" s="61"/>
      <c r="C126" s="67"/>
      <c r="D126" s="61"/>
      <c r="E126" s="82"/>
      <c r="F126" s="80" t="s">
        <v>73</v>
      </c>
      <c r="G126" s="81"/>
      <c r="H126" s="65" t="s">
        <v>16</v>
      </c>
      <c r="I126" s="53">
        <f ca="1">กระบี่!I126+ชุมพร!I126+ตรัง!I126+นครศรีธรรมราช!I126+นราธิวาส!I126+ปัตตานี!I126+พังงา!I126+พัทลุง!I126+ภูเก็ต!I126+ยะลา!I126+ระนอง!I126+สงขลา!I126+สตูล!I126+สุราษฎร์ธานี!I126</f>
        <v>60</v>
      </c>
      <c r="J126" s="74">
        <f>กระบี่!J126+ชุมพร!J126+ตรัง!J126+นครศรีธรรมราช!J126+นราธิวาส!J126+ปัตตานี!J126+พังงา!J126+พัทลุง!J126+ภูเก็ต!J126+ยะลา!J126+ระนอง!J126+สงขลา!J126+สตูล!J126+สุราษฎร์ธานี!J126</f>
        <v>15</v>
      </c>
      <c r="K126" s="54">
        <f t="shared" ca="1" si="13"/>
        <v>25</v>
      </c>
      <c r="L126" s="66"/>
      <c r="M126" s="66"/>
      <c r="N126" s="66"/>
    </row>
    <row r="127" spans="1:14" ht="21.75" customHeight="1" x14ac:dyDescent="0.55000000000000004">
      <c r="A127" s="60"/>
      <c r="B127" s="61"/>
      <c r="C127" s="67"/>
      <c r="D127" s="61"/>
      <c r="E127" s="79" t="s">
        <v>35</v>
      </c>
      <c r="F127" s="80"/>
      <c r="G127" s="81"/>
      <c r="H127" s="72"/>
      <c r="I127" s="73"/>
      <c r="J127" s="74">
        <f>กระบี่!J127+ชุมพร!J127+ตรัง!J127+นครศรีธรรมราช!J127+นราธิวาส!J127+ปัตตานี!J127+พังงา!J127+พัทลุง!J127+ภูเก็ต!J127+ยะลา!J127+ระนอง!J127+สงขลา!J127+สตูล!J127+สุราษฎร์ธานี!J127</f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3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f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153"/>
      <c r="C129" s="153" t="s">
        <v>74</v>
      </c>
      <c r="D129" s="154"/>
      <c r="E129" s="154"/>
      <c r="F129" s="154"/>
      <c r="G129" s="155"/>
      <c r="H129" s="163" t="s">
        <v>16</v>
      </c>
      <c r="I129" s="161">
        <f ca="1">กระบี่!I129+ชุมพร!I129+ตรัง!I129+นครศรีธรรมราช!I129+นราธิวาส!I129+ปัตตานี!I129+พังงา!I129+พัทลุง!I129+ภูเก็ต!I129+ยะลา!I129+ระนอง!I129+สงขลา!I129+สตูล!I129+สุราษฎร์ธานี!I129</f>
        <v>100</v>
      </c>
      <c r="J129" s="161">
        <f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0</v>
      </c>
      <c r="K129" s="162">
        <f ca="1">IF(I129&gt;0,J129*100/I129,0)</f>
        <v>0</v>
      </c>
      <c r="L129" s="159">
        <f ca="1">กระบี่!L129+ชุมพร!L129+ตรัง!L129+นครศรีธรรมราช!L129+นราธิวาส!L129+ปัตตานี!L129+พังงา!L129+พัทลุง!L129+ภูเก็ต!L129+ยะลา!L129+ระนอง!L129+สงขลา!L129+สตูล!L129+สุราษฎร์ธานี!L129</f>
        <v>375500</v>
      </c>
      <c r="M129" s="159">
        <f>กระบี่!M129+ชุมพร!M129+ตรัง!M129+นครศรีธรรมราช!M129+นราธิวาส!M129+ปัตตานี!M129+พังงา!M129+พัทลุง!M129+ภูเก็ต!M129+ยะลา!M129+ระนอง!M129+สงขลา!M129+สตูล!M129+สุราษฎร์ธานี!M129</f>
        <v>0</v>
      </c>
      <c r="N129" s="159">
        <f t="shared" ref="N129:N132" ca="1" si="14">+IF(L129&gt;0,M129*100/L129,0)</f>
        <v>0</v>
      </c>
    </row>
    <row r="130" spans="1:14" ht="21.75" customHeight="1" x14ac:dyDescent="0.55000000000000004">
      <c r="A130" s="46"/>
      <c r="B130" s="47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f>กระบี่!L130+ชุมพร!L130+ตรัง!L130+นครศรีธรรมราช!L130+นราธิวาส!L130+ปัตตานี!L130+พังงา!L130+พัทลุง!L130+ภูเก็ต!L130+ยะลา!L130+ระนอง!L130+สงขลา!L130+สตูล!L130+สุราษฎร์ธานี!L130</f>
        <v>0</v>
      </c>
      <c r="M130" s="55">
        <f>กระบี่!M130+ชุมพร!M130+ตรัง!M130+นครศรีธรรมราช!M130+นราธิวาส!M130+ปัตตานี!M130+พังงา!M130+พัทลุง!M130+ภูเก็ต!M130+ยะลา!M130+ระนอง!M130+สงขลา!M130+สตูล!M130+สุราษฎร์ธานี!M130</f>
        <v>0</v>
      </c>
      <c r="N130" s="55">
        <f t="shared" si="14"/>
        <v>0</v>
      </c>
    </row>
    <row r="131" spans="1:14" ht="21.75" customHeight="1" x14ac:dyDescent="0.55000000000000004">
      <c r="A131" s="46"/>
      <c r="B131" s="47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กระบี่!L131+ชุมพร!L131+ตรัง!L131+นครศรีธรรมราช!L131+นราธิวาส!L131+ปัตตานี!L131+พังงา!L131+พัทลุง!L131+ภูเก็ต!L131+ยะลา!L131+ระนอง!L131+สงขลา!L131+สตูล!L131+สุราษฎร์ธานี!L131</f>
        <v>375500</v>
      </c>
      <c r="M131" s="55">
        <f>กระบี่!M131+ชุมพร!M131+ตรัง!M131+นครศรีธรรมราช!M131+นราธิวาส!M131+ปัตตานี!M131+พังงา!M131+พัทลุง!M131+ภูเก็ต!M131+ยะลา!M131+ระนอง!M131+สงขลา!M131+สตูล!M131+สุราษฎร์ธานี!M131</f>
        <v>0</v>
      </c>
      <c r="N131" s="55">
        <f t="shared" ca="1" si="14"/>
        <v>0</v>
      </c>
    </row>
    <row r="132" spans="1:14" ht="21.75" customHeight="1" x14ac:dyDescent="0.55000000000000004">
      <c r="A132" s="46"/>
      <c r="B132" s="47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กระบี่!L132+ชุมพร!L132+ตรัง!L132+นครศรีธรรมราช!L132+นราธิวาส!L132+ปัตตานี!L132+พังงา!L132+พัทลุง!L132+ภูเก็ต!L132+ยะลา!L132+ระนอง!L132+สงขลา!L132+สตูล!L132+สุราษฎร์ธานี!L132</f>
        <v>375500</v>
      </c>
      <c r="M132" s="59">
        <f>กระบี่!M132+ชุมพร!M132+ตรัง!M132+นครศรีธรรมราช!M132+นราธิวาส!M132+ปัตตานี!M132+พังงา!M132+พัทลุง!M132+ภูเก็ต!M132+ยะลา!M132+ระนอง!M132+สงขลา!M132+สตูล!M132+สุราษฎร์ธานี!M132</f>
        <v>0</v>
      </c>
      <c r="N132" s="58">
        <f t="shared" ca="1" si="14"/>
        <v>0</v>
      </c>
    </row>
    <row r="133" spans="1:14" ht="21.75" customHeight="1" x14ac:dyDescent="0.55000000000000004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55000000000000004">
      <c r="A134" s="60"/>
      <c r="B134" s="61"/>
      <c r="C134" s="67"/>
      <c r="D134" s="68">
        <v>1</v>
      </c>
      <c r="E134" s="69" t="s">
        <v>26</v>
      </c>
      <c r="F134" s="70"/>
      <c r="G134" s="71"/>
      <c r="H134" s="72"/>
      <c r="I134" s="73"/>
      <c r="J134" s="74">
        <f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54"/>
      <c r="L134" s="66"/>
      <c r="M134" s="66"/>
      <c r="N134" s="66"/>
    </row>
    <row r="135" spans="1:14" ht="21.75" customHeight="1" x14ac:dyDescent="0.55000000000000004">
      <c r="A135" s="60"/>
      <c r="B135" s="61"/>
      <c r="C135" s="67"/>
      <c r="D135" s="75">
        <v>2</v>
      </c>
      <c r="E135" s="76" t="s">
        <v>27</v>
      </c>
      <c r="F135" s="77"/>
      <c r="G135" s="78"/>
      <c r="H135" s="72"/>
      <c r="I135" s="73"/>
      <c r="J135" s="74">
        <f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55000000000000004">
      <c r="A136" s="60"/>
      <c r="B136" s="61"/>
      <c r="C136" s="67"/>
      <c r="D136" s="61"/>
      <c r="E136" s="79" t="s">
        <v>28</v>
      </c>
      <c r="F136" s="80"/>
      <c r="G136" s="81"/>
      <c r="H136" s="72"/>
      <c r="I136" s="73"/>
      <c r="J136" s="74">
        <f>กระบี่!J136+ชุมพร!J136+ตรัง!J136+นครศรีธรรมราช!J136+นราธิวาส!J136+ปัตตานี!J136+พังงา!J136+พัทลุง!J136+ภูเก็ต!J136+ยะลา!J136+ระนอง!J136+สงขลา!J136+สตูล!J136+สุราษฎร์ธานี!J136</f>
        <v>1</v>
      </c>
      <c r="K136" s="54"/>
      <c r="L136" s="66"/>
      <c r="M136" s="66"/>
      <c r="N136" s="66"/>
    </row>
    <row r="137" spans="1:14" ht="21.75" customHeight="1" x14ac:dyDescent="0.55000000000000004">
      <c r="A137" s="60"/>
      <c r="B137" s="61"/>
      <c r="C137" s="67"/>
      <c r="D137" s="61"/>
      <c r="E137" s="79" t="s">
        <v>29</v>
      </c>
      <c r="F137" s="80"/>
      <c r="G137" s="81"/>
      <c r="H137" s="72"/>
      <c r="I137" s="73"/>
      <c r="J137" s="74">
        <f>กระบี่!J137+ชุมพร!J137+ตรัง!J137+นครศรีธรรมราช!J137+นราธิวาส!J137+ปัตตานี!J137+พังงา!J137+พัทลุง!J137+ภูเก็ต!J137+ยะลา!J137+ระนอง!J137+สงขลา!J137+สตูล!J137+สุราษฎร์ธานี!J137</f>
        <v>1</v>
      </c>
      <c r="K137" s="54"/>
      <c r="L137" s="66"/>
      <c r="M137" s="66"/>
      <c r="N137" s="66"/>
    </row>
    <row r="138" spans="1:14" ht="21.75" customHeight="1" x14ac:dyDescent="0.55000000000000004">
      <c r="A138" s="60"/>
      <c r="B138" s="61"/>
      <c r="C138" s="67"/>
      <c r="D138" s="61"/>
      <c r="E138" s="82"/>
      <c r="F138" s="80" t="s">
        <v>75</v>
      </c>
      <c r="G138" s="81"/>
      <c r="H138" s="65" t="s">
        <v>16</v>
      </c>
      <c r="I138" s="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100</v>
      </c>
      <c r="J138" s="164">
        <f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0</v>
      </c>
      <c r="K138" s="85">
        <f ca="1">IF(I138&gt;0,J138*100/I138,0)</f>
        <v>0</v>
      </c>
      <c r="L138" s="66"/>
      <c r="M138" s="66"/>
      <c r="N138" s="66"/>
    </row>
    <row r="139" spans="1:14" ht="21.75" customHeight="1" x14ac:dyDescent="0.55000000000000004">
      <c r="A139" s="60"/>
      <c r="B139" s="61"/>
      <c r="C139" s="67"/>
      <c r="D139" s="61"/>
      <c r="E139" s="82"/>
      <c r="F139" s="79" t="s">
        <v>34</v>
      </c>
      <c r="G139" s="81"/>
      <c r="H139" s="65"/>
      <c r="I139" s="73"/>
      <c r="J139" s="73"/>
      <c r="K139" s="54"/>
      <c r="L139" s="66"/>
      <c r="M139" s="66"/>
      <c r="N139" s="66"/>
    </row>
    <row r="140" spans="1:14" ht="21.75" customHeight="1" x14ac:dyDescent="0.55000000000000004">
      <c r="A140" s="60"/>
      <c r="B140" s="61"/>
      <c r="C140" s="67"/>
      <c r="D140" s="61"/>
      <c r="E140" s="82"/>
      <c r="F140" s="80"/>
      <c r="G140" s="105" t="s">
        <v>76</v>
      </c>
      <c r="H140" s="65" t="s">
        <v>16</v>
      </c>
      <c r="I140" s="53">
        <f ca="1">กระบี่!I140+ชุมพร!I140+ตรัง!I140+นครศรีธรรมราช!I140+นราธิวาส!I140+ปัตตานี!I140+พังงา!I140+พัทลุง!I140+ภูเก็ต!I140+ยะลา!I140+ระนอง!I140+สงขลา!I140+สตูล!I140+สุราษฎร์ธานี!I140</f>
        <v>0</v>
      </c>
      <c r="J140" s="74">
        <f>กระบี่!J140+ชุมพร!J140+ตรัง!J140+นครศรีธรรมราช!J140+นราธิวาส!J140+ปัตตานี!J140+พังงา!J140+พัทลุง!J140+ภูเก็ต!J140+ยะลา!J140+ระนอง!J140+สงขลา!J140+สตูล!J140+สุราษฎร์ธานี!J140</f>
        <v>0</v>
      </c>
      <c r="K140" s="54">
        <f t="shared" ref="K140:K141" ca="1" si="15">IF(I140&gt;0,J140*100/I140,0)</f>
        <v>0</v>
      </c>
      <c r="L140" s="66"/>
      <c r="M140" s="66"/>
      <c r="N140" s="66"/>
    </row>
    <row r="141" spans="1:14" ht="21.75" customHeight="1" x14ac:dyDescent="0.55000000000000004">
      <c r="A141" s="60"/>
      <c r="B141" s="61"/>
      <c r="C141" s="67"/>
      <c r="D141" s="61"/>
      <c r="E141" s="82"/>
      <c r="F141" s="80"/>
      <c r="G141" s="105" t="s">
        <v>77</v>
      </c>
      <c r="H141" s="65" t="s">
        <v>40</v>
      </c>
      <c r="I141" s="53">
        <f ca="1">กระบี่!I141+ชุมพร!I141+ตรัง!I141+นครศรีธรรมราช!I141+นราธิวาส!I141+ปัตตานี!I141+พังงา!I141+พัทลุง!I141+ภูเก็ต!I141+ยะลา!I141+ระนอง!I141+สงขลา!I141+สตูล!I141+สุราษฎร์ธานี!I141</f>
        <v>6</v>
      </c>
      <c r="J141" s="74">
        <f>กระบี่!J141+ชุมพร!J141+ตรัง!J141+นครศรีธรรมราช!J141+นราธิวาส!J141+ปัตตานี!J141+พังงา!J141+พัทลุง!J141+ภูเก็ต!J141+ยะลา!J141+ระนอง!J141+สงขลา!J141+สตูล!J141+สุราษฎร์ธานี!J141</f>
        <v>0</v>
      </c>
      <c r="K141" s="54">
        <f t="shared" ca="1" si="15"/>
        <v>0</v>
      </c>
      <c r="L141" s="66"/>
      <c r="M141" s="66"/>
      <c r="N141" s="66"/>
    </row>
    <row r="142" spans="1:14" ht="21.75" customHeight="1" x14ac:dyDescent="0.55000000000000004">
      <c r="A142" s="60"/>
      <c r="B142" s="61"/>
      <c r="C142" s="67"/>
      <c r="D142" s="61"/>
      <c r="E142" s="79" t="s">
        <v>35</v>
      </c>
      <c r="F142" s="80"/>
      <c r="G142" s="81"/>
      <c r="H142" s="72"/>
      <c r="I142" s="73"/>
      <c r="J142" s="74">
        <f>กระบี่!J142+ชุมพร!J142+ตรัง!J142+นครศรีธรรมราช!J142+นราธิวาส!J142+ปัตตานี!J142+พังงา!J142+พัทลุง!J142+ภูเก็ต!J142+ยะลา!J142+ระนอง!J142+สงขลา!J142+สตูล!J142+สุราษฎร์ธานี!J142</f>
        <v>0</v>
      </c>
      <c r="K142" s="54"/>
      <c r="L142" s="66"/>
      <c r="M142" s="66"/>
      <c r="N142" s="66"/>
    </row>
    <row r="143" spans="1:14" ht="21.75" customHeight="1" x14ac:dyDescent="0.55000000000000004">
      <c r="A143" s="112"/>
      <c r="B143" s="113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121">
        <f>กระบี่!J143+ชุมพร!J143+ตรัง!J143+นครศรีธรรมราช!J143+นราธิวาส!J143+ปัตตานี!J143+พังงา!J143+พัทลุง!J143+ภูเก็ต!J143+ยะลา!J143+ระนอง!J143+สงขลา!J143+สตูล!J143+สุราษฎร์ธานี!J143</f>
        <v>0</v>
      </c>
      <c r="K143" s="122"/>
      <c r="L143" s="123"/>
      <c r="M143" s="123"/>
      <c r="N143" s="123"/>
    </row>
    <row r="144" spans="1:14" ht="21.75" customHeight="1" x14ac:dyDescent="0.55000000000000004">
      <c r="A144" s="142"/>
      <c r="B144" s="143" t="s">
        <v>78</v>
      </c>
      <c r="C144" s="144"/>
      <c r="D144" s="145"/>
      <c r="E144" s="145"/>
      <c r="F144" s="145"/>
      <c r="G144" s="146"/>
      <c r="H144" s="147" t="s">
        <v>16</v>
      </c>
      <c r="I144" s="148">
        <f ca="1">กระบี่!I144+ชุมพร!I144+ตรัง!I144+นครศรีธรรมราช!I144+นราธิวาส!I144+ปัตตานี!I144+พังงา!I144+พัทลุง!I144+ภูเก็ต!I144+ยะลา!I144+ระนอง!I144+สงขลา!I144+สตูล!I144+สุราษฎร์ธานี!I144</f>
        <v>189</v>
      </c>
      <c r="J144" s="148">
        <f>กระบี่!J144+ชุมพร!J144+ตรัง!J144+นครศรีธรรมราช!J144+นราธิวาส!J144+ปัตตานี!J144+พังงา!J144+พัทลุง!J144+ภูเก็ต!J144+ยะลา!J144+ระนอง!J144+สงขลา!J144+สตูล!J144+สุราษฎร์ธานี!J144</f>
        <v>42</v>
      </c>
      <c r="K144" s="149">
        <f ca="1">IF(I144&gt;0,J144*100/I144,0)</f>
        <v>22.222222222222221</v>
      </c>
      <c r="L144" s="150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269135</v>
      </c>
      <c r="M144" s="150">
        <f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73755</v>
      </c>
      <c r="N144" s="149">
        <f ca="1">IF(L144&gt;0,M144*100/L144,0)</f>
        <v>27.404462444498115</v>
      </c>
    </row>
    <row r="145" spans="1:14" ht="21.75" customHeight="1" x14ac:dyDescent="0.55000000000000004">
      <c r="A145" s="46"/>
      <c r="B145" s="47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f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0</v>
      </c>
      <c r="M145" s="55">
        <f>กระบี่!M145+ชุมพร!M145+ตรัง!M145+นครศรีธรรมราช!M145+นราธิวาส!M145+ปัตตานี!M145+พังงา!M145+พัทลุง!M145+ภูเก็ต!M145+ยะลา!M145+ระนอง!M145+สงขลา!M145+สตูล!M145+สุราษฎร์ธานี!M145</f>
        <v>0</v>
      </c>
      <c r="N145" s="55">
        <f t="shared" ref="N145:N148" si="16">+IF(L145&gt;0,M145*100/L145,0)</f>
        <v>0</v>
      </c>
    </row>
    <row r="146" spans="1:14" ht="21.75" customHeight="1" x14ac:dyDescent="0.55000000000000004">
      <c r="A146" s="46"/>
      <c r="B146" s="47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269135</v>
      </c>
      <c r="M146" s="55">
        <f>กระบี่!M146+ชุมพร!M146+ตรัง!M146+นครศรีธรรมราช!M146+นราธิวาส!M146+ปัตตานี!M146+พังงา!M146+พัทลุง!M146+ภูเก็ต!M146+ยะลา!M146+ระนอง!M146+สงขลา!M146+สตูล!M146+สุราษฎร์ธานี!M146</f>
        <v>73755</v>
      </c>
      <c r="N146" s="55">
        <f t="shared" ca="1" si="16"/>
        <v>27.404462444498115</v>
      </c>
    </row>
    <row r="147" spans="1:14" ht="21.75" customHeight="1" x14ac:dyDescent="0.55000000000000004">
      <c r="A147" s="46"/>
      <c r="B147" s="47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 ca="1"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58">
        <f>กระบี่!M147+ชุมพร!M147+ตรัง!M147+นครศรีธรรมราช!M147+นราธิวาส!M147+ปัตตานี!M147+พังงา!M147+พัทลุง!M147+ภูเก็ต!M147+ยะลา!M147+ระนอง!M147+สงขลา!M147+สตูล!M147+สุราษฎร์ธานี!M147</f>
        <v>0</v>
      </c>
      <c r="N147" s="58">
        <f t="shared" ca="1" si="16"/>
        <v>0</v>
      </c>
    </row>
    <row r="148" spans="1:14" ht="21.75" customHeight="1" x14ac:dyDescent="0.55000000000000004">
      <c r="A148" s="46"/>
      <c r="B148" s="47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269135</v>
      </c>
      <c r="M148" s="59">
        <f>กระบี่!M148+ชุมพร!M148+ตรัง!M148+นครศรีธรรมราช!M148+นราธิวาส!M148+ปัตตานี!M148+พังงา!M148+พัทลุง!M148+ภูเก็ต!M148+ยะลา!M148+ระนอง!M148+สงขลา!M148+สตูล!M148+สุราษฎร์ธานี!M148</f>
        <v>73755</v>
      </c>
      <c r="N148" s="58">
        <f t="shared" ca="1" si="16"/>
        <v>27.404462444498115</v>
      </c>
    </row>
    <row r="149" spans="1:14" ht="21.75" customHeight="1" x14ac:dyDescent="0.55000000000000004">
      <c r="A149" s="60"/>
      <c r="B149" s="165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189</v>
      </c>
      <c r="J149" s="148">
        <f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42</v>
      </c>
      <c r="K149" s="149">
        <f ca="1">IF(I149&gt;0,J149*100/I149,0)</f>
        <v>22.222222222222221</v>
      </c>
      <c r="L149" s="151"/>
      <c r="M149" s="151"/>
      <c r="N149" s="151"/>
    </row>
    <row r="150" spans="1:14" ht="21.75" customHeight="1" x14ac:dyDescent="0.55000000000000004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1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f>กระบี่!J151+ชุมพร!J151+ตรัง!J151+นครศรีธรรมราช!J151+นราธิวาส!J151+ปัตตานี!J151+พังงา!J151+พัทลุง!J151+ภูเก็ต!J151+ยะลา!J151+ระนอง!J151+สงขลา!J151+สตูล!J151+สุราษฎร์ธานี!J151</f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1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f>กระบี่!J152+ชุมพร!J152+ตรัง!J152+นครศรีธรรมราช!J152+นราธิวาส!J152+ปัตตานี!J152+พังงา!J152+พัทลุง!J152+ภูเก็ต!J152+ยะลา!J152+ระนอง!J152+สงขลา!J152+สตูล!J152+สุราษฎร์ธานี!J152</f>
        <v>12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1"/>
      <c r="C153" s="67"/>
      <c r="D153" s="61"/>
      <c r="E153" s="79" t="s">
        <v>28</v>
      </c>
      <c r="F153" s="80"/>
      <c r="G153" s="81"/>
      <c r="H153" s="72"/>
      <c r="I153" s="73"/>
      <c r="J153" s="74">
        <f>กระบี่!J153+ชุมพร!J153+ตรัง!J153+นครศรีธรรมราช!J153+นราธิวาส!J153+ปัตตานี!J153+พังงา!J153+พัทลุง!J153+ภูเก็ต!J153+ยะลา!J153+ระนอง!J153+สงขลา!J153+สตูล!J153+สุราษฎร์ธานี!J153</f>
        <v>11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1"/>
      <c r="C154" s="67"/>
      <c r="D154" s="61"/>
      <c r="E154" s="79" t="s">
        <v>29</v>
      </c>
      <c r="F154" s="80"/>
      <c r="G154" s="81"/>
      <c r="H154" s="72"/>
      <c r="I154" s="73"/>
      <c r="J154" s="74">
        <f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7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1"/>
      <c r="C155" s="67"/>
      <c r="D155" s="61"/>
      <c r="E155" s="82"/>
      <c r="F155" s="80"/>
      <c r="G155" s="105" t="s">
        <v>80</v>
      </c>
      <c r="H155" s="72" t="s">
        <v>16</v>
      </c>
      <c r="I155" s="73">
        <f ca="1">กระบี่!I155+ชุมพร!I155+ตรัง!I155+นครศรีธรรมราช!I155+นราธิวาส!I155+ปัตตานี!I155+พังงา!I155+พัทลุง!I155+ภูเก็ต!I155+ยะลา!I155+ระนอง!I155+สงขลา!I155+สตูล!I155+สุราษฎร์ธานี!I155</f>
        <v>189</v>
      </c>
      <c r="J155" s="74">
        <f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42</v>
      </c>
      <c r="K155" s="54">
        <f ca="1">IF(I155&gt;0,J155*100/I155,0)</f>
        <v>22.222222222222221</v>
      </c>
      <c r="L155" s="66"/>
      <c r="M155" s="66"/>
      <c r="N155" s="66"/>
    </row>
    <row r="156" spans="1:14" ht="21.75" customHeight="1" x14ac:dyDescent="0.55000000000000004">
      <c r="A156" s="60"/>
      <c r="B156" s="61"/>
      <c r="C156" s="67"/>
      <c r="D156" s="61"/>
      <c r="E156" s="79" t="s">
        <v>35</v>
      </c>
      <c r="F156" s="80"/>
      <c r="G156" s="81"/>
      <c r="H156" s="72"/>
      <c r="I156" s="73"/>
      <c r="J156" s="74">
        <f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1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f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1"/>
      <c r="C158" s="144" t="s">
        <v>81</v>
      </c>
      <c r="D158" s="166"/>
      <c r="E158" s="145"/>
      <c r="F158" s="145"/>
      <c r="G158" s="146"/>
      <c r="H158" s="147" t="s">
        <v>16</v>
      </c>
      <c r="I158" s="148">
        <f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0</v>
      </c>
      <c r="J158" s="148">
        <f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1"/>
      <c r="C160" s="67"/>
      <c r="D160" s="68">
        <v>1</v>
      </c>
      <c r="E160" s="69" t="s">
        <v>26</v>
      </c>
      <c r="F160" s="70"/>
      <c r="G160" s="71"/>
      <c r="H160" s="72"/>
      <c r="I160" s="73"/>
      <c r="J160" s="74">
        <f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1"/>
      <c r="C161" s="67"/>
      <c r="D161" s="75">
        <v>2</v>
      </c>
      <c r="E161" s="76" t="s">
        <v>27</v>
      </c>
      <c r="F161" s="77"/>
      <c r="G161" s="78"/>
      <c r="H161" s="72"/>
      <c r="I161" s="73"/>
      <c r="J161" s="74">
        <f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1"/>
      <c r="C162" s="67"/>
      <c r="D162" s="61"/>
      <c r="E162" s="79" t="s">
        <v>28</v>
      </c>
      <c r="F162" s="80"/>
      <c r="G162" s="81"/>
      <c r="H162" s="72"/>
      <c r="I162" s="73"/>
      <c r="J162" s="74">
        <f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1"/>
      <c r="C163" s="67"/>
      <c r="D163" s="61"/>
      <c r="E163" s="79" t="s">
        <v>29</v>
      </c>
      <c r="F163" s="80"/>
      <c r="G163" s="81"/>
      <c r="H163" s="72"/>
      <c r="I163" s="73"/>
      <c r="J163" s="74">
        <f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1"/>
      <c r="C164" s="67"/>
      <c r="D164" s="61"/>
      <c r="E164" s="80"/>
      <c r="F164" s="79" t="s">
        <v>82</v>
      </c>
      <c r="G164" s="80"/>
      <c r="H164" s="72" t="s">
        <v>16</v>
      </c>
      <c r="I164" s="73">
        <f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0</v>
      </c>
      <c r="J164" s="74">
        <f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1"/>
      <c r="C165" s="67"/>
      <c r="D165" s="61"/>
      <c r="E165" s="79" t="s">
        <v>35</v>
      </c>
      <c r="F165" s="80"/>
      <c r="G165" s="81"/>
      <c r="H165" s="72"/>
      <c r="I165" s="73"/>
      <c r="J165" s="74">
        <f>กระบี่!J165+ชุมพร!J165+ตรัง!J165+นครศรีธรรมราช!J165+นราธิวาส!J165+ปัตตานี!J165+พังงา!J165+พัทลุง!J165+ภูเก็ต!J165+ยะลา!J165+ระนอง!J165+สงขลา!J165+สตูล!J165+สุราษฎร์ธานี!J165</f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3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121">
        <f>กระบี่!J166+ชุมพร!J166+ตรัง!J166+นครศรีธรรมราช!J166+นราธิวาส!J166+ปัตตานี!J166+พังงา!J166+พัทลุง!J166+ภูเก็ต!J166+ยะลา!J166+ระนอง!J166+สงขลา!J166+สตูล!J166+สุราษฎร์ธานี!J166</f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8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8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7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กระบี่!I169+ชุมพร!I169+ตรัง!I169+นครศรีธรรมราช!I169+นราธิวาส!I169+ปัตตานี!I169+พังงา!I169+พัทลุง!I169+ภูเก็ต!I169+ยะลา!I169+ระนอง!I169+สงขลา!I169+สตูล!I169+สุราษฎร์ธานี!I169</f>
        <v>85</v>
      </c>
      <c r="J169" s="191">
        <f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92">
        <f ca="1">IF(I169&gt;0,J169*100/I169,0)</f>
        <v>0</v>
      </c>
      <c r="L169" s="193">
        <f ca="1">กระบี่!L169+ชุมพร!L169+ตรัง!L169+นครศรีธรรมราช!L169+นราธิวาส!L169+ปัตตานี!L169+พังงา!L169+พัทลุง!L169+ภูเก็ต!L169+ยะลา!L169+ระนอง!L169+สงขลา!L169+สตูล!L169+สุราษฎร์ธานี!L169</f>
        <v>435200</v>
      </c>
      <c r="M169" s="193">
        <f>กระบี่!M169+ชุมพร!M169+ตรัง!M169+นครศรีธรรมราช!M169+นราธิวาส!M169+ปัตตานี!M169+พังงา!M169+พัทลุง!M169+ภูเก็ต!M169+ยะลา!M169+ระนอง!M169+สงขลา!M169+สตูล!M169+สุราษฎร์ธานี!M169</f>
        <v>22000</v>
      </c>
      <c r="N169" s="192">
        <f ca="1">IF(L169&gt;0,M169*100/L169,0)</f>
        <v>5.055147058823529</v>
      </c>
    </row>
    <row r="170" spans="1:14" ht="21.75" customHeight="1" x14ac:dyDescent="0.55000000000000004">
      <c r="A170" s="46"/>
      <c r="B170" s="47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f>กระบี่!L170+ชุมพร!L170+ตรัง!L170+นครศรีธรรมราช!L170+นราธิวาส!L170+ปัตตานี!L170+พังงา!L170+พัทลุง!L170+ภูเก็ต!L170+ยะลา!L170+ระนอง!L170+สงขลา!L170+สตูล!L170+สุราษฎร์ธานี!L170</f>
        <v>0</v>
      </c>
      <c r="M170" s="55">
        <f>กระบี่!M170+ชุมพร!M170+ตรัง!M170+นครศรีธรรมราช!M170+นราธิวาส!M170+ปัตตานี!M170+พังงา!M170+พัทลุง!M170+ภูเก็ต!M170+ยะลา!M170+ระนอง!M170+สงขลา!M170+สตูล!M170+สุราษฎร์ธานี!M170</f>
        <v>0</v>
      </c>
      <c r="N170" s="55">
        <f t="shared" ref="N170:N173" si="17">+IF(L170&gt;0,M170*100/L170,0)</f>
        <v>0</v>
      </c>
    </row>
    <row r="171" spans="1:14" ht="21.75" customHeight="1" x14ac:dyDescent="0.55000000000000004">
      <c r="A171" s="46"/>
      <c r="B171" s="47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ca="1">กระบี่!L171+ชุมพร!L171+ตรัง!L171+นครศรีธรรมราช!L171+นราธิวาส!L171+ปัตตานี!L171+พังงา!L171+พัทลุง!L171+ภูเก็ต!L171+ยะลา!L171+ระนอง!L171+สงขลา!L171+สตูล!L171+สุราษฎร์ธานี!L171</f>
        <v>435200</v>
      </c>
      <c r="M171" s="55">
        <f>กระบี่!M171+ชุมพร!M171+ตรัง!M171+นครศรีธรรมราช!M171+นราธิวาส!M171+ปัตตานี!M171+พังงา!M171+พัทลุง!M171+ภูเก็ต!M171+ยะลา!M171+ระนอง!M171+สงขลา!M171+สตูล!M171+สุราษฎร์ธานี!M171</f>
        <v>22000</v>
      </c>
      <c r="N171" s="55">
        <f t="shared" ca="1" si="17"/>
        <v>5.055147058823529</v>
      </c>
    </row>
    <row r="172" spans="1:14" ht="21.75" customHeight="1" x14ac:dyDescent="0.55000000000000004">
      <c r="A172" s="46"/>
      <c r="B172" s="47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กระบี่!L172+ชุมพร!L172+ตรัง!L172+นครศรีธรรมราช!L172+นราธิวาส!L172+ปัตตานี!L172+พังงา!L172+พัทลุง!L172+ภูเก็ต!L172+ยะลา!L172+ระนอง!L172+สงขลา!L172+สตูล!L172+สุราษฎร์ธานี!L172</f>
        <v>132000</v>
      </c>
      <c r="M172" s="59">
        <f>กระบี่!M172+ชุมพร!M172+ตรัง!M172+นครศรีธรรมราช!M172+นราธิวาส!M172+ปัตตานี!M172+พังงา!M172+พัทลุง!M172+ภูเก็ต!M172+ยะลา!M172+ระนอง!M172+สงขลา!M172+สตูล!M172+สุราษฎร์ธานี!M172</f>
        <v>22000</v>
      </c>
      <c r="N172" s="58">
        <f t="shared" ca="1" si="17"/>
        <v>16.666666666666668</v>
      </c>
    </row>
    <row r="173" spans="1:14" ht="21.75" customHeight="1" x14ac:dyDescent="0.55000000000000004">
      <c r="A173" s="46"/>
      <c r="B173" s="47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กระบี่!L173+ชุมพร!L173+ตรัง!L173+นครศรีธรรมราช!L173+นราธิวาส!L173+ปัตตานี!L173+พังงา!L173+พัทลุง!L173+ภูเก็ต!L173+ยะลา!L173+ระนอง!L173+สงขลา!L173+สตูล!L173+สุราษฎร์ธานี!L173</f>
        <v>303200</v>
      </c>
      <c r="M173" s="59">
        <f>กระบี่!M173+ชุมพร!M173+ตรัง!M173+นครศรีธรรมราช!M173+นราธิวาส!M173+ปัตตานี!M173+พังงา!M173+พัทลุง!M173+ภูเก็ต!M173+ยะลา!M173+ระนอง!M173+สงขลา!M173+สตูล!M173+สุราษฎร์ธานี!M173</f>
        <v>0</v>
      </c>
      <c r="N173" s="58">
        <f t="shared" ca="1" si="17"/>
        <v>0</v>
      </c>
    </row>
    <row r="174" spans="1:14" ht="21.75" customHeight="1" x14ac:dyDescent="0.55000000000000004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55000000000000004">
      <c r="A175" s="60"/>
      <c r="B175" s="61"/>
      <c r="C175" s="67"/>
      <c r="D175" s="68">
        <v>1</v>
      </c>
      <c r="E175" s="69" t="s">
        <v>26</v>
      </c>
      <c r="F175" s="70"/>
      <c r="G175" s="71"/>
      <c r="H175" s="72"/>
      <c r="I175" s="73"/>
      <c r="J175" s="74">
        <f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1"/>
      <c r="C176" s="67"/>
      <c r="D176" s="75">
        <v>2</v>
      </c>
      <c r="E176" s="76" t="s">
        <v>27</v>
      </c>
      <c r="F176" s="77"/>
      <c r="G176" s="78"/>
      <c r="H176" s="72"/>
      <c r="I176" s="73"/>
      <c r="J176" s="74">
        <f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4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1"/>
      <c r="C177" s="67"/>
      <c r="D177" s="61"/>
      <c r="E177" s="79" t="s">
        <v>28</v>
      </c>
      <c r="F177" s="80"/>
      <c r="G177" s="81"/>
      <c r="H177" s="72"/>
      <c r="I177" s="73"/>
      <c r="J177" s="74">
        <f>กระบี่!J177+ชุมพร!J177+ตรัง!J177+นครศรีธรรมราช!J177+นราธิวาส!J177+ปัตตานี!J177+พังงา!J177+พัทลุง!J177+ภูเก็ต!J177+ยะลา!J177+ระนอง!J177+สงขลา!J177+สตูล!J177+สุราษฎร์ธานี!J177</f>
        <v>4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1"/>
      <c r="C178" s="67"/>
      <c r="D178" s="61"/>
      <c r="E178" s="79" t="s">
        <v>29</v>
      </c>
      <c r="F178" s="80"/>
      <c r="G178" s="81"/>
      <c r="H178" s="72"/>
      <c r="I178" s="73"/>
      <c r="J178" s="74">
        <f>กระบี่!J178+ชุมพร!J178+ตรัง!J178+นครศรีธรรมราช!J178+นราธิวาส!J178+ปัตตานี!J178+พังงา!J178+พัทลุง!J178+ภูเก็ต!J178+ยะลา!J178+ระนอง!J178+สงขลา!J178+สตูล!J178+สุราษฎร์ธานี!J178</f>
        <v>3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1"/>
      <c r="C179" s="67"/>
      <c r="D179" s="61"/>
      <c r="E179" s="82"/>
      <c r="F179" s="79" t="s">
        <v>86</v>
      </c>
      <c r="G179" s="81"/>
      <c r="H179" s="65" t="s">
        <v>40</v>
      </c>
      <c r="I179" s="73">
        <f ca="1">กระบี่!I179+ชุมพร!I179+ตรัง!I179+นครศรีธรรมราช!I179+นราธิวาส!I179+ปัตตานี!I179+พังงา!I179+พัทลุง!I179+ภูเก็ต!I179+ยะลา!I179+ระนอง!I179+สงขลา!I179+สตูล!I179+สุราษฎร์ธานี!I179</f>
        <v>4</v>
      </c>
      <c r="J179" s="74">
        <f>กระบี่!J179+ชุมพร!J179+ตรัง!J179+นครศรีธรรมราช!J179+นราธิวาส!J179+ปัตตานี!J179+พังงา!J179+พัทลุง!J179+ภูเก็ต!J179+ยะลา!J179+ระนอง!J179+สงขลา!J179+สตูล!J179+สุราษฎร์ธานี!J179</f>
        <v>0</v>
      </c>
      <c r="K179" s="54">
        <f t="shared" ref="K179:K182" ca="1" si="18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1"/>
      <c r="C180" s="67"/>
      <c r="D180" s="61"/>
      <c r="E180" s="82"/>
      <c r="F180" s="79" t="s">
        <v>87</v>
      </c>
      <c r="G180" s="81"/>
      <c r="H180" s="65" t="s">
        <v>16</v>
      </c>
      <c r="I180" s="73">
        <f ca="1">กระบี่!I180+ชุมพร!I180+ตรัง!I180+นครศรีธรรมราช!I180+นราธิวาส!I180+ปัตตานี!I180+พังงา!I180+พัทลุง!I180+ภูเก็ต!I180+ยะลา!I180+ระนอง!I180+สงขลา!I180+สตูล!I180+สุราษฎร์ธานี!I180</f>
        <v>85</v>
      </c>
      <c r="J180" s="74">
        <f>กระบี่!J180+ชุมพร!J180+ตรัง!J180+นครศรีธรรมราช!J180+นราธิวาส!J180+ปัตตานี!J180+พังงา!J180+พัทลุง!J180+ภูเก็ต!J180+ยะลา!J180+ระนอง!J180+สงขลา!J180+สตูล!J180+สุราษฎร์ธานี!J180</f>
        <v>0</v>
      </c>
      <c r="K180" s="54">
        <f t="shared" ca="1" si="18"/>
        <v>0</v>
      </c>
      <c r="L180" s="66"/>
      <c r="M180" s="66"/>
      <c r="N180" s="66"/>
    </row>
    <row r="181" spans="1:14" ht="21.75" customHeight="1" x14ac:dyDescent="0.55000000000000004">
      <c r="A181" s="60"/>
      <c r="B181" s="61"/>
      <c r="C181" s="67"/>
      <c r="D181" s="61"/>
      <c r="E181" s="82"/>
      <c r="F181" s="79" t="s">
        <v>88</v>
      </c>
      <c r="G181" s="81"/>
      <c r="H181" s="65" t="s">
        <v>16</v>
      </c>
      <c r="I181" s="73">
        <f ca="1">กระบี่!I181+ชุมพร!I181+ตรัง!I181+นครศรีธรรมราช!I181+นราธิวาส!I181+ปัตตานี!I181+พังงา!I181+พัทลุง!I181+ภูเก็ต!I181+ยะลา!I181+ระนอง!I181+สงขลา!I181+สตูล!I181+สุราษฎร์ธานี!I181</f>
        <v>85</v>
      </c>
      <c r="J181" s="74">
        <f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54">
        <f t="shared" ca="1" si="18"/>
        <v>0</v>
      </c>
      <c r="L181" s="66"/>
      <c r="M181" s="66"/>
      <c r="N181" s="66"/>
    </row>
    <row r="182" spans="1:14" ht="21.75" customHeight="1" x14ac:dyDescent="0.55000000000000004">
      <c r="A182" s="60"/>
      <c r="B182" s="61"/>
      <c r="C182" s="67"/>
      <c r="D182" s="61"/>
      <c r="E182" s="82"/>
      <c r="F182" s="79" t="s">
        <v>89</v>
      </c>
      <c r="G182" s="81"/>
      <c r="H182" s="65" t="s">
        <v>16</v>
      </c>
      <c r="I182" s="53">
        <f ca="1">กระบี่!I182+ชุมพร!I182+ตรัง!I182+นครศรีธรรมราช!I182+นราธิวาส!I182+ปัตตานี!I182+พังงา!I182+พัทลุง!I182+ภูเก็ต!I182+ยะลา!I182+ระนอง!I182+สงขลา!I182+สตูล!I182+สุราษฎร์ธานี!I182</f>
        <v>4</v>
      </c>
      <c r="J182" s="74">
        <f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0</v>
      </c>
      <c r="K182" s="54">
        <f t="shared" ca="1" si="18"/>
        <v>0</v>
      </c>
      <c r="L182" s="66"/>
      <c r="M182" s="66"/>
      <c r="N182" s="66"/>
    </row>
    <row r="183" spans="1:14" ht="21.75" customHeight="1" x14ac:dyDescent="0.55000000000000004">
      <c r="A183" s="60"/>
      <c r="B183" s="61"/>
      <c r="C183" s="67"/>
      <c r="D183" s="61"/>
      <c r="E183" s="79" t="s">
        <v>35</v>
      </c>
      <c r="F183" s="80"/>
      <c r="G183" s="81"/>
      <c r="H183" s="72"/>
      <c r="I183" s="73"/>
      <c r="J183" s="74">
        <f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3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121">
        <f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7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85</v>
      </c>
      <c r="J185" s="191">
        <f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192">
        <f ca="1">IF(I185&gt;0,J185*100/I185,0)</f>
        <v>0</v>
      </c>
      <c r="L185" s="193">
        <f ca="1">กระบี่!L185+ชุมพร!L185+ตรัง!L185+นครศรีธรรมราช!L185+นราธิวาส!L185+ปัตตานี!L185+พังงา!L185+พัทลุง!L185+ภูเก็ต!L185+ยะลา!L185+ระนอง!L185+สงขลา!L185+สตูล!L185+สุราษฎร์ธานี!L185</f>
        <v>1192800</v>
      </c>
      <c r="M185" s="193">
        <f>กระบี่!M185+ชุมพร!M185+ตรัง!M185+นครศรีธรรมราช!M185+นราธิวาส!M185+ปัตตานี!M185+พังงา!M185+พัทลุง!M185+ภูเก็ต!M185+ยะลา!M185+ระนอง!M185+สงขลา!M185+สตูล!M185+สุราษฎร์ธานี!M185</f>
        <v>67440</v>
      </c>
      <c r="N185" s="192">
        <f ca="1">IF(L185&gt;0,M185*100/L185,0)</f>
        <v>5.6539235412474849</v>
      </c>
    </row>
    <row r="186" spans="1:14" ht="21.75" customHeight="1" x14ac:dyDescent="0.55000000000000004">
      <c r="A186" s="46"/>
      <c r="B186" s="47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f>กระบี่!L186+ชุมพร!L186+ตรัง!L186+นครศรีธรรมราช!L186+นราธิวาส!L186+ปัตตานี!L186+พังงา!L186+พัทลุง!L186+ภูเก็ต!L186+ยะลา!L186+ระนอง!L186+สงขลา!L186+สตูล!L186+สุราษฎร์ธานี!L186</f>
        <v>0</v>
      </c>
      <c r="M186" s="55">
        <f>กระบี่!M186+ชุมพร!M186+ตรัง!M186+นครศรีธรรมราช!M186+นราธิวาส!M186+ปัตตานี!M186+พังงา!M186+พัทลุง!M186+ภูเก็ต!M186+ยะลา!M186+ระนอง!M186+สงขลา!M186+สตูล!M186+สุราษฎร์ธานี!M186</f>
        <v>0</v>
      </c>
      <c r="N186" s="55">
        <f t="shared" ref="N186:N189" si="19">+IF(L186&gt;0,M186*100/L186,0)</f>
        <v>0</v>
      </c>
    </row>
    <row r="187" spans="1:14" ht="21.75" customHeight="1" x14ac:dyDescent="0.55000000000000004">
      <c r="A187" s="46"/>
      <c r="B187" s="47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ca="1">กระบี่!L187+ชุมพร!L187+ตรัง!L187+นครศรีธรรมราช!L187+นราธิวาส!L187+ปัตตานี!L187+พังงา!L187+พัทลุง!L187+ภูเก็ต!L187+ยะลา!L187+ระนอง!L187+สงขลา!L187+สตูล!L187+สุราษฎร์ธานี!L187</f>
        <v>1192800</v>
      </c>
      <c r="M187" s="55">
        <f>กระบี่!M187+ชุมพร!M187+ตรัง!M187+นครศรีธรรมราช!M187+นราธิวาส!M187+ปัตตานี!M187+พังงา!M187+พัทลุง!M187+ภูเก็ต!M187+ยะลา!M187+ระนอง!M187+สงขลา!M187+สตูล!M187+สุราษฎร์ธานี!M187</f>
        <v>67440</v>
      </c>
      <c r="N187" s="55">
        <f t="shared" ca="1" si="19"/>
        <v>5.6539235412474849</v>
      </c>
    </row>
    <row r="188" spans="1:14" ht="21.75" customHeight="1" x14ac:dyDescent="0.55000000000000004">
      <c r="A188" s="46"/>
      <c r="B188" s="47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กระบี่!L188+ชุมพร!L188+ตรัง!L188+นครศรีธรรมราช!L188+นราธิวาส!L188+ปัตตานี!L188+พังงา!L188+พัทลุง!L188+ภูเก็ต!L188+ยะลา!L188+ระนอง!L188+สงขลา!L188+สตูล!L188+สุราษฎร์ธานี!L188</f>
        <v>660000</v>
      </c>
      <c r="M188" s="59">
        <f>กระบี่!M188+ชุมพร!M188+ตรัง!M188+นครศรีธรรมราช!M188+นราธิวาส!M188+ปัตตานี!M188+พังงา!M188+พัทลุง!M188+ภูเก็ต!M188+ยะลา!M188+ระนอง!M188+สงขลา!M188+สตูล!M188+สุราษฎร์ธานี!M188</f>
        <v>55000</v>
      </c>
      <c r="N188" s="58">
        <f t="shared" ca="1" si="19"/>
        <v>8.3333333333333339</v>
      </c>
    </row>
    <row r="189" spans="1:14" ht="21.75" customHeight="1" x14ac:dyDescent="0.55000000000000004">
      <c r="A189" s="46"/>
      <c r="B189" s="47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กระบี่!L189+ชุมพร!L189+ตรัง!L189+นครศรีธรรมราช!L189+นราธิวาส!L189+ปัตตานี!L189+พังงา!L189+พัทลุง!L189+ภูเก็ต!L189+ยะลา!L189+ระนอง!L189+สงขลา!L189+สตูล!L189+สุราษฎร์ธานี!L189</f>
        <v>532800</v>
      </c>
      <c r="M189" s="59">
        <f>กระบี่!M189+ชุมพร!M189+ตรัง!M189+นครศรีธรรมราช!M189+นราธิวาส!M189+ปัตตานี!M189+พังงา!M189+พัทลุง!M189+ภูเก็ต!M189+ยะลา!M189+ระนอง!M189+สงขลา!M189+สตูล!M189+สุราษฎร์ธานี!M189</f>
        <v>12440</v>
      </c>
      <c r="N189" s="58">
        <f t="shared" ca="1" si="19"/>
        <v>2.3348348348348349</v>
      </c>
    </row>
    <row r="190" spans="1:14" ht="21.75" customHeight="1" x14ac:dyDescent="0.55000000000000004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1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f>กระบี่!J191+ชุมพร!J191+ตรัง!J191+นครศรีธรรมราช!J191+นราธิวาส!J191+ปัตตานี!J191+พังงา!J191+พัทลุง!J191+ภูเก็ต!J191+ยะลา!J191+ระนอง!J191+สงขลา!J191+สตูล!J191+สุราษฎร์ธานี!J191</f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1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f>กระบี่!J192+ชุมพร!J192+ตรัง!J192+นครศรีธรรมราช!J192+นราธิวาส!J192+ปัตตานี!J192+พังงา!J192+พัทลุง!J192+ภูเก็ต!J192+ยะลา!J192+ระนอง!J192+สงขลา!J192+สตูล!J192+สุราษฎร์ธานี!J192</f>
        <v>5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1"/>
      <c r="C193" s="67"/>
      <c r="D193" s="61"/>
      <c r="E193" s="79" t="s">
        <v>28</v>
      </c>
      <c r="F193" s="80"/>
      <c r="G193" s="81"/>
      <c r="H193" s="72"/>
      <c r="I193" s="73"/>
      <c r="J193" s="74">
        <f>กระบี่!J193+ชุมพร!J193+ตรัง!J193+นครศรีธรรมราช!J193+นราธิวาส!J193+ปัตตานี!J193+พังงา!J193+พัทลุง!J193+ภูเก็ต!J193+ยะลา!J193+ระนอง!J193+สงขลา!J193+สตูล!J193+สุราษฎร์ธานี!J193</f>
        <v>4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1"/>
      <c r="C194" s="67"/>
      <c r="D194" s="61"/>
      <c r="E194" s="79" t="s">
        <v>29</v>
      </c>
      <c r="F194" s="80"/>
      <c r="G194" s="81"/>
      <c r="H194" s="72"/>
      <c r="I194" s="73"/>
      <c r="J194" s="74">
        <f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1"/>
      <c r="C195" s="67"/>
      <c r="D195" s="61"/>
      <c r="E195" s="80"/>
      <c r="F195" s="79" t="s">
        <v>91</v>
      </c>
      <c r="G195" s="81"/>
      <c r="H195" s="72" t="s">
        <v>16</v>
      </c>
      <c r="I195" s="73">
        <f ca="1">กระบี่!I195+ชุมพร!I195+ตรัง!I195+นครศรีธรรมราช!I195+นราธิวาส!I195+ปัตตานี!I195+พังงา!I195+พัทลุง!I195+ภูเก็ต!I195+ยะลา!I195+ระนอง!I195+สงขลา!I195+สตูล!I195+สุราษฎร์ธานี!I195</f>
        <v>85</v>
      </c>
      <c r="J195" s="74">
        <f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1"/>
      <c r="C196" s="67"/>
      <c r="D196" s="61"/>
      <c r="E196" s="79" t="s">
        <v>35</v>
      </c>
      <c r="F196" s="80"/>
      <c r="G196" s="81"/>
      <c r="H196" s="72"/>
      <c r="I196" s="73"/>
      <c r="J196" s="74">
        <f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1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f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8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7" t="s">
        <v>93</v>
      </c>
      <c r="C199" s="199"/>
      <c r="D199" s="200"/>
      <c r="E199" s="188"/>
      <c r="F199" s="188"/>
      <c r="G199" s="189"/>
      <c r="H199" s="190" t="s">
        <v>16</v>
      </c>
      <c r="I199" s="191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125</v>
      </c>
      <c r="J199" s="191">
        <f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0</v>
      </c>
      <c r="K199" s="192">
        <f ca="1">IF(I199&gt;0,J199*100/I199,0)</f>
        <v>0</v>
      </c>
      <c r="L199" s="193">
        <f ca="1">กระบี่!L199+ชุมพร!L199+ตรัง!L199+นครศรีธรรมราช!L199+นราธิวาส!L199+ปัตตานี!L199+พังงา!L199+พัทลุง!L199+ภูเก็ต!L199+ยะลา!L199+ระนอง!L199+สงขลา!L199+สตูล!L199+สุราษฎร์ธานี!L199</f>
        <v>445180</v>
      </c>
      <c r="M199" s="193">
        <f>กระบี่!M199+ชุมพร!M199+ตรัง!M199+นครศรีธรรมราช!M199+นราธิวาส!M199+ปัตตานี!M199+พังงา!M199+พัทลุง!M199+ภูเก็ต!M199+ยะลา!M199+ระนอง!M199+สงขลา!M199+สตูล!M199+สุราษฎร์ธานี!M199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7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f>กระบี่!L200+ชุมพร!L200+ตรัง!L200+นครศรีธรรมราช!L200+นราธิวาส!L200+ปัตตานี!L200+พังงา!L200+พัทลุง!L200+ภูเก็ต!L200+ยะลา!L200+ระนอง!L200+สงขลา!L200+สตูล!L200+สุราษฎร์ธานี!L200</f>
        <v>0</v>
      </c>
      <c r="M200" s="55">
        <f>กระบี่!M200+ชุมพร!M200+ตรัง!M200+นครศรีธรรมราช!M200+นราธิวาส!M200+ปัตตานี!M200+พังงา!M200+พัทลุง!M200+ภูเก็ต!M200+ยะลา!M200+ระนอง!M200+สงขลา!M200+สตูล!M200+สุราษฎร์ธานี!M200</f>
        <v>0</v>
      </c>
      <c r="N200" s="55">
        <f t="shared" ref="N200:N203" si="20">+IF(L200&gt;0,M200*100/L200,0)</f>
        <v>0</v>
      </c>
    </row>
    <row r="201" spans="1:14" ht="21.75" customHeight="1" x14ac:dyDescent="0.55000000000000004">
      <c r="A201" s="46"/>
      <c r="B201" s="47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ca="1">กระบี่!L201+ชุมพร!L201+ตรัง!L201+นครศรีธรรมราช!L201+นราธิวาส!L201+ปัตตานี!L201+พังงา!L201+พัทลุง!L201+ภูเก็ต!L201+ยะลา!L201+ระนอง!L201+สงขลา!L201+สตูล!L201+สุราษฎร์ธานี!L201</f>
        <v>445180</v>
      </c>
      <c r="M201" s="55">
        <f>กระบี่!M201+ชุมพร!M201+ตรัง!M201+นครศรีธรรมราช!M201+นราธิวาส!M201+ปัตตานี!M201+พังงา!M201+พัทลุง!M201+ภูเก็ต!M201+ยะลา!M201+ระนอง!M201+สงขลา!M201+สตูล!M201+สุราษฎร์ธานี!M201</f>
        <v>0</v>
      </c>
      <c r="N201" s="55">
        <f t="shared" ca="1" si="20"/>
        <v>0</v>
      </c>
    </row>
    <row r="202" spans="1:14" ht="21.75" customHeight="1" x14ac:dyDescent="0.55000000000000004">
      <c r="A202" s="46"/>
      <c r="B202" s="47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f ca="1">กระบี่!L202+ชุมพร!L202+ตรัง!L202+นครศรีธรรมราช!L202+นราธิวาส!L202+ปัตตานี!L202+พังงา!L202+พัทลุง!L202+ภูเก็ต!L202+ยะลา!L202+ระนอง!L202+สงขลา!L202+สตูล!L202+สุราษฎร์ธานี!L202</f>
        <v>0</v>
      </c>
      <c r="M202" s="58">
        <f>กระบี่!M202+ชุมพร!M202+ตรัง!M202+นครศรีธรรมราช!M202+นราธิวาส!M202+ปัตตานี!M202+พังงา!M202+พัทลุง!M202+ภูเก็ต!M202+ยะลา!M202+ระนอง!M202+สงขลา!M202+สตูล!M202+สุราษฎร์ธานี!M202</f>
        <v>0</v>
      </c>
      <c r="N202" s="58">
        <f t="shared" ca="1" si="20"/>
        <v>0</v>
      </c>
    </row>
    <row r="203" spans="1:14" ht="21.75" customHeight="1" x14ac:dyDescent="0.55000000000000004">
      <c r="A203" s="46"/>
      <c r="B203" s="47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กระบี่!L203+ชุมพร!L203+ตรัง!L203+นครศรีธรรมราช!L203+นราธิวาส!L203+ปัตตานี!L203+พังงา!L203+พัทลุง!L203+ภูเก็ต!L203+ยะลา!L203+ระนอง!L203+สงขลา!L203+สตูล!L203+สุราษฎร์ธานี!L203</f>
        <v>445180</v>
      </c>
      <c r="M203" s="59">
        <f>กระบี่!M203+ชุมพร!M203+ตรัง!M203+นครศรีธรรมราช!M203+นราธิวาส!M203+ปัตตานี!M203+พังงา!M203+พัทลุง!M203+ภูเก็ต!M203+ยะลา!M203+ระนอง!M203+สงขลา!M203+สตูล!M203+สุราษฎร์ธานี!M203</f>
        <v>0</v>
      </c>
      <c r="N203" s="58">
        <f t="shared" ca="1" si="20"/>
        <v>0</v>
      </c>
    </row>
    <row r="204" spans="1:14" ht="21.75" customHeight="1" x14ac:dyDescent="0.55000000000000004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55000000000000004">
      <c r="A205" s="60"/>
      <c r="B205" s="61"/>
      <c r="C205" s="67"/>
      <c r="D205" s="68">
        <v>1</v>
      </c>
      <c r="E205" s="69" t="s">
        <v>26</v>
      </c>
      <c r="F205" s="70"/>
      <c r="G205" s="71"/>
      <c r="H205" s="72"/>
      <c r="I205" s="73"/>
      <c r="J205" s="74">
        <f>กระบี่!J205+ชุมพร!J205+ตรัง!J205+นครศรีธรรมราช!J205+นราธิวาส!J205+ปัตตานี!J205+พังงา!J205+พัทลุง!J205+ภูเก็ต!J205+ยะลา!J205+ระนอง!J205+สงขลา!J205+สตูล!J205+สุราษฎร์ธานี!J205</f>
        <v>1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1"/>
      <c r="C206" s="67"/>
      <c r="D206" s="75">
        <v>2</v>
      </c>
      <c r="E206" s="76" t="s">
        <v>27</v>
      </c>
      <c r="F206" s="77"/>
      <c r="G206" s="78"/>
      <c r="H206" s="72"/>
      <c r="I206" s="73"/>
      <c r="J206" s="74">
        <f>กระบี่!J206+ชุมพร!J206+ตรัง!J206+นครศรีธรรมราช!J206+นราธิวาส!J206+ปัตตานี!J206+พังงา!J206+พัทลุง!J206+ภูเก็ต!J206+ยะลา!J206+ระนอง!J206+สงขลา!J206+สตูล!J206+สุราษฎร์ธานี!J206</f>
        <v>2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1"/>
      <c r="C207" s="67"/>
      <c r="D207" s="61"/>
      <c r="E207" s="79" t="s">
        <v>28</v>
      </c>
      <c r="F207" s="80"/>
      <c r="G207" s="81"/>
      <c r="H207" s="72"/>
      <c r="I207" s="73"/>
      <c r="J207" s="74">
        <f>กระบี่!J207+ชุมพร!J207+ตรัง!J207+นครศรีธรรมราช!J207+นราธิวาส!J207+ปัตตานี!J207+พังงา!J207+พัทลุง!J207+ภูเก็ต!J207+ยะลา!J207+ระนอง!J207+สงขลา!J207+สตูล!J207+สุราษฎร์ธานี!J207</f>
        <v>2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1"/>
      <c r="C208" s="67"/>
      <c r="D208" s="61"/>
      <c r="E208" s="79" t="s">
        <v>29</v>
      </c>
      <c r="F208" s="80"/>
      <c r="G208" s="81"/>
      <c r="H208" s="72"/>
      <c r="I208" s="73"/>
      <c r="J208" s="74">
        <f>กระบี่!J208+ชุมพร!J208+ตรัง!J208+นครศรีธรรมราช!J208+นราธิวาส!J208+ปัตตานี!J208+พังงา!J208+พัทลุง!J208+ภูเก็ต!J208+ยะลา!J208+ระนอง!J208+สงขลา!J208+สตูล!J208+สุราษฎร์ธานี!J208</f>
        <v>2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1"/>
      <c r="C209" s="67"/>
      <c r="D209" s="61"/>
      <c r="E209" s="82"/>
      <c r="F209" s="79" t="s">
        <v>94</v>
      </c>
      <c r="G209" s="81"/>
      <c r="H209" s="65" t="s">
        <v>16</v>
      </c>
      <c r="I209" s="73">
        <f ca="1">กระบี่!I209+ชุมพร!I209+ตรัง!I209+นครศรีธรรมราช!I209+นราธิวาส!I209+ปัตตานี!I209+พังงา!I209+พัทลุง!I209+ภูเก็ต!I209+ยะลา!I209+ระนอง!I209+สงขลา!I209+สตูล!I209+สุราษฎร์ธานี!I209</f>
        <v>125</v>
      </c>
      <c r="J209" s="74">
        <f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1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1"/>
      <c r="C211" s="67"/>
      <c r="D211" s="61"/>
      <c r="E211" s="82"/>
      <c r="F211" s="80" t="s">
        <v>34</v>
      </c>
      <c r="G211" s="81"/>
      <c r="H211" s="65" t="s">
        <v>16</v>
      </c>
      <c r="I211" s="73">
        <f ca="1">กระบี่!I211+ชุมพร!I211+ตรัง!I211+นครศรีธรรมราช!I211+นราธิวาส!I211+ปัตตานี!I211+พังงา!I211+พัทลุง!I211+ภูเก็ต!I211+ยะลา!I211+ระนอง!I211+สงขลา!I211+สตูล!I211+สุราษฎร์ธานี!I211</f>
        <v>125</v>
      </c>
      <c r="J211" s="74">
        <f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1"/>
      <c r="C212" s="67"/>
      <c r="D212" s="61"/>
      <c r="E212" s="79" t="s">
        <v>35</v>
      </c>
      <c r="F212" s="80"/>
      <c r="G212" s="81"/>
      <c r="H212" s="72"/>
      <c r="I212" s="73"/>
      <c r="J212" s="74">
        <f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1"/>
      <c r="C213" s="67"/>
      <c r="D213" s="86">
        <v>3</v>
      </c>
      <c r="E213" s="87" t="s">
        <v>36</v>
      </c>
      <c r="F213" s="88"/>
      <c r="G213" s="89"/>
      <c r="H213" s="72"/>
      <c r="I213" s="73"/>
      <c r="J213" s="201">
        <f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3" t="s">
        <v>96</v>
      </c>
      <c r="C214" s="204"/>
      <c r="D214" s="205"/>
      <c r="E214" s="206"/>
      <c r="F214" s="206"/>
      <c r="G214" s="207"/>
      <c r="H214" s="208" t="s">
        <v>97</v>
      </c>
      <c r="I214" s="209">
        <f ca="1"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5</v>
      </c>
      <c r="J214" s="209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1</v>
      </c>
      <c r="K214" s="210">
        <f ca="1">IF(I214&gt;0,J214*100/I214,0)</f>
        <v>20</v>
      </c>
      <c r="L214" s="211">
        <f ca="1">กระบี่!L214+ชุมพร!L214+ตรัง!L214+นครศรีธรรมราช!L214+นราธิวาส!L214+ปัตตานี!L214+พังงา!L214+พัทลุง!L214+ภูเก็ต!L214+ยะลา!L214+ระนอง!L214+สงขลา!L214+สตูล!L214+สุราษฎร์ธานี!L214</f>
        <v>971400</v>
      </c>
      <c r="M214" s="211">
        <f>กระบี่!M214+ชุมพร!M214+ตรัง!M214+นครศรีธรรมราช!M214+นราธิวาส!M214+ปัตตานี!M214+พังงา!M214+พัทลุง!M214+ภูเก็ต!M214+ยะลา!M214+ระนอง!M214+สงขลา!M214+สตูล!M214+สุราษฎร์ธานี!M214</f>
        <v>214075.41</v>
      </c>
      <c r="N214" s="210">
        <f ca="1">IF(L214&gt;0,M214*100/L214,0)</f>
        <v>22.037822730080297</v>
      </c>
    </row>
    <row r="215" spans="1:14" ht="21.75" customHeight="1" x14ac:dyDescent="0.55000000000000004">
      <c r="A215" s="46"/>
      <c r="B215" s="47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f>กระบี่!L215+ชุมพร!L215+ตรัง!L215+นครศรีธรรมราช!L215+นราธิวาส!L215+ปัตตานี!L215+พังงา!L215+พัทลุง!L215+ภูเก็ต!L215+ยะลา!L215+ระนอง!L215+สงขลา!L215+สตูล!L215+สุราษฎร์ธานี!L215</f>
        <v>0</v>
      </c>
      <c r="M215" s="58">
        <f>กระบี่!M215+ชุมพร!M215+ตรัง!M215+นครศรีธรรมราช!M215+นราธิวาส!M215+ปัตตานี!M215+พังงา!M215+พัทลุง!M215+ภูเก็ต!M215+ยะลา!M215+ระนอง!M215+สงขลา!M215+สตูล!M215+สุราษฎร์ธานี!M215</f>
        <v>0</v>
      </c>
      <c r="N215" s="58">
        <f t="shared" ref="N215:N218" si="21">+IF(L215&gt;0,M215*100/L215,0)</f>
        <v>0</v>
      </c>
    </row>
    <row r="216" spans="1:14" ht="21.75" customHeight="1" x14ac:dyDescent="0.55000000000000004">
      <c r="A216" s="46"/>
      <c r="B216" s="47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ca="1">กระบี่!L216+ชุมพร!L216+ตรัง!L216+นครศรีธรรมราช!L216+นราธิวาส!L216+ปัตตานี!L216+พังงา!L216+พัทลุง!L216+ภูเก็ต!L216+ยะลา!L216+ระนอง!L216+สงขลา!L216+สตูล!L216+สุราษฎร์ธานี!L216</f>
        <v>971400</v>
      </c>
      <c r="M216" s="58">
        <f>กระบี่!M216+ชุมพร!M216+ตรัง!M216+นครศรีธรรมราช!M216+นราธิวาส!M216+ปัตตานี!M216+พังงา!M216+พัทลุง!M216+ภูเก็ต!M216+ยะลา!M216+ระนอง!M216+สงขลา!M216+สตูล!M216+สุราษฎร์ธานี!M216</f>
        <v>214075.41</v>
      </c>
      <c r="N216" s="58">
        <f t="shared" ca="1" si="21"/>
        <v>22.037822730080297</v>
      </c>
    </row>
    <row r="217" spans="1:14" ht="21.75" customHeight="1" x14ac:dyDescent="0.55000000000000004">
      <c r="A217" s="46"/>
      <c r="B217" s="47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f ca="1">กระบี่!L217+ชุมพร!L217+ตรัง!L217+นครศรีธรรมราช!L217+นราธิวาส!L217+ปัตตานี!L217+พังงา!L217+พัทลุง!L217+ภูเก็ต!L217+ยะลา!L217+ระนอง!L217+สงขลา!L217+สตูล!L217+สุราษฎร์ธานี!L217</f>
        <v>0</v>
      </c>
      <c r="M217" s="58">
        <f>กระบี่!M217+ชุมพร!M217+ตรัง!M217+นครศรีธรรมราช!M217+นราธิวาส!M217+ปัตตานี!M217+พังงา!M217+พัทลุง!M217+ภูเก็ต!M217+ยะลา!M217+ระนอง!M217+สงขลา!M217+สตูล!M217+สุราษฎร์ธานี!M217</f>
        <v>0</v>
      </c>
      <c r="N217" s="58">
        <f t="shared" ca="1" si="21"/>
        <v>0</v>
      </c>
    </row>
    <row r="218" spans="1:14" ht="21.75" customHeight="1" x14ac:dyDescent="0.55000000000000004">
      <c r="A218" s="46"/>
      <c r="B218" s="47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กระบี่!L218+ชุมพร!L218+ตรัง!L218+นครศรีธรรมราช!L218+นราธิวาส!L218+ปัตตานี!L218+พังงา!L218+พัทลุง!L218+ภูเก็ต!L218+ยะลา!L218+ระนอง!L218+สงขลา!L218+สตูล!L218+สุราษฎร์ธานี!L218</f>
        <v>971400</v>
      </c>
      <c r="M218" s="59">
        <f>กระบี่!M218+ชุมพร!M218+ตรัง!M218+นครศรีธรรมราช!M218+นราธิวาส!M218+ปัตตานี!M218+พังงา!M218+พัทลุง!M218+ภูเก็ต!M218+ยะลา!M218+ระนอง!M218+สงขลา!M218+สตูล!M218+สุราษฎร์ธานี!M218</f>
        <v>214075.41</v>
      </c>
      <c r="N218" s="58">
        <f t="shared" ca="1" si="21"/>
        <v>22.037822730080297</v>
      </c>
    </row>
    <row r="219" spans="1:14" ht="21.75" customHeight="1" x14ac:dyDescent="0.55000000000000004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55000000000000004">
      <c r="A220" s="60"/>
      <c r="B220" s="61"/>
      <c r="C220" s="67"/>
      <c r="D220" s="68">
        <v>1</v>
      </c>
      <c r="E220" s="69" t="s">
        <v>26</v>
      </c>
      <c r="F220" s="70"/>
      <c r="G220" s="71"/>
      <c r="H220" s="72"/>
      <c r="I220" s="73"/>
      <c r="J220" s="74">
        <f>กระบี่!J220+ชุมพร!J220+ตรัง!J220+นครศรีธรรมราช!J220+นราธิวาส!J220+ปัตตานี!J220+พังงา!J220+พัทลุง!J220+ภูเก็ต!J220+ยะลา!J220+ระนอง!J220+สงขลา!J220+สตูล!J220+สุราษฎร์ธานี!J220</f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1"/>
      <c r="C221" s="67"/>
      <c r="D221" s="75">
        <v>2</v>
      </c>
      <c r="E221" s="76" t="s">
        <v>27</v>
      </c>
      <c r="F221" s="77"/>
      <c r="G221" s="78"/>
      <c r="H221" s="72"/>
      <c r="I221" s="73"/>
      <c r="J221" s="74">
        <f>กระบี่!J221+ชุมพร!J221+ตรัง!J221+นครศรีธรรมราช!J221+นราธิวาส!J221+ปัตตานี!J221+พังงา!J221+พัทลุง!J221+ภูเก็ต!J221+ยะลา!J221+ระนอง!J221+สงขลา!J221+สตูล!J221+สุราษฎร์ธานี!J221</f>
        <v>3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1"/>
      <c r="C222" s="67"/>
      <c r="D222" s="61"/>
      <c r="E222" s="79" t="s">
        <v>28</v>
      </c>
      <c r="F222" s="80"/>
      <c r="G222" s="81"/>
      <c r="H222" s="72"/>
      <c r="I222" s="73"/>
      <c r="J222" s="74">
        <f>กระบี่!J222+ชุมพร!J222+ตรัง!J222+นครศรีธรรมราช!J222+นราธิวาส!J222+ปัตตานี!J222+พังงา!J222+พัทลุง!J222+ภูเก็ต!J222+ยะลา!J222+ระนอง!J222+สงขลา!J222+สตูล!J222+สุราษฎร์ธานี!J222</f>
        <v>3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1"/>
      <c r="C223" s="67"/>
      <c r="D223" s="61"/>
      <c r="E223" s="79" t="s">
        <v>29</v>
      </c>
      <c r="F223" s="80"/>
      <c r="G223" s="81"/>
      <c r="H223" s="72"/>
      <c r="I223" s="73"/>
      <c r="J223" s="74">
        <f>กระบี่!J223+ชุมพร!J223+ตรัง!J223+นครศรีธรรมราช!J223+นราธิวาส!J223+ปัตตานี!J223+พังงา!J223+พัทลุง!J223+ภูเก็ต!J223+ยะลา!J223+ระนอง!J223+สงขลา!J223+สตูล!J223+สุราษฎร์ธานี!J223</f>
        <v>2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1"/>
      <c r="C224" s="67"/>
      <c r="D224" s="61"/>
      <c r="E224" s="82"/>
      <c r="F224" s="79" t="s">
        <v>98</v>
      </c>
      <c r="G224" s="81"/>
      <c r="H224" s="72" t="s">
        <v>97</v>
      </c>
      <c r="I224" s="73">
        <f ca="1">กระบี่!I224+ชุมพร!I224+ตรัง!I224+นครศรีธรรมราช!I224+นราธิวาส!I224+ปัตตานี!I224+พังงา!I224+พัทลุง!I224+ภูเก็ต!I224+ยะลา!I224+ระนอง!I224+สงขลา!I224+สตูล!I224+สุราษฎร์ธานี!I224</f>
        <v>5</v>
      </c>
      <c r="J224" s="74">
        <f>กระบี่!J224+ชุมพร!J224+ตรัง!J224+นครศรีธรรมราช!J224+นราธิวาส!J224+ปัตตานี!J224+พังงา!J224+พัทลุง!J224+ภูเก็ต!J224+ยะลา!J224+ระนอง!J224+สงขลา!J224+สตูล!J224+สุราษฎร์ธานี!J224</f>
        <v>1</v>
      </c>
      <c r="K224" s="54">
        <f ca="1">IF(I224&gt;0,J224*100/I224,0)</f>
        <v>20</v>
      </c>
      <c r="L224" s="66"/>
      <c r="M224" s="66"/>
      <c r="N224" s="66"/>
    </row>
    <row r="225" spans="1:14" ht="21.75" customHeight="1" x14ac:dyDescent="0.55000000000000004">
      <c r="A225" s="60"/>
      <c r="B225" s="61"/>
      <c r="C225" s="67"/>
      <c r="D225" s="61"/>
      <c r="E225" s="79" t="s">
        <v>35</v>
      </c>
      <c r="F225" s="80"/>
      <c r="G225" s="81"/>
      <c r="H225" s="72"/>
      <c r="I225" s="73"/>
      <c r="J225" s="74">
        <f>กระบี่!J225+ชุมพร!J225+ตรัง!J225+นครศรีธรรมราช!J225+นราธิวาส!J225+ปัตตานี!J225+พังงา!J225+พัทลุง!J225+ภูเก็ต!J225+ยะลา!J225+ระนอง!J225+สงขลา!J225+สตูล!J225+สุราษฎร์ธานี!J225</f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1"/>
      <c r="C226" s="67"/>
      <c r="D226" s="86">
        <v>3</v>
      </c>
      <c r="E226" s="87" t="s">
        <v>36</v>
      </c>
      <c r="F226" s="88"/>
      <c r="G226" s="89"/>
      <c r="H226" s="72"/>
      <c r="I226" s="73"/>
      <c r="J226" s="90">
        <f>กระบี่!J226+ชุมพร!J226+ตรัง!J226+นครศรีธรรมราช!J226+นราธิวาส!J226+ปัตตานี!J226+พังงา!J226+พัทลุง!J226+ภูเก็ต!J226+ยะลา!J226+ระนอง!J226+สงขลา!J226+สตูล!J226+สุราษฎร์ธานี!J226</f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8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7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กระบี่!I228+ชุมพร!I228+ตรัง!I228+นครศรีธรรมราช!I228+นราธิวาส!I228+ปัตตานี!I228+พังงา!I228+พัทลุง!I228+ภูเก็ต!I228+ยะลา!I228+ระนอง!I228+สงขลา!I228+สตูล!I228+สุราษฎร์ธานี!I228</f>
        <v>2553</v>
      </c>
      <c r="J228" s="212">
        <f ca="1">กระบี่!J228+ชุมพร!J228+ตรัง!J228+นครศรีธรรมราช!J228+นราธิวาส!J228+ปัตตานี!J228+พังงา!J228+พัทลุง!J228+ภูเก็ต!J228+ยะลา!J228+ระนอง!J228+สงขลา!J228+สตูล!J228+สุราษฎร์ธานี!J228</f>
        <v>151</v>
      </c>
      <c r="K228" s="192">
        <f ca="1">IF(I228&gt;0,J228*100/I228,0)</f>
        <v>5.9146102624363497</v>
      </c>
      <c r="L228" s="193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11889260</v>
      </c>
      <c r="M228" s="193">
        <f>กระบี่!M228+ชุมพร!M228+ตรัง!M228+นครศรีธรรมราช!M228+นราธิวาส!M228+ปัตตานี!M228+พังงา!M228+พัทลุง!M228+ภูเก็ต!M228+ยะลา!M228+ระนอง!M228+สงขลา!M228+สตูล!M228+สุราษฎร์ธานี!M228</f>
        <v>865737.23</v>
      </c>
      <c r="N228" s="192">
        <f ca="1">IF(L228&gt;0,M228*100/L228,0)</f>
        <v>7.2816746374458967</v>
      </c>
    </row>
    <row r="229" spans="1:14" ht="21.75" customHeight="1" x14ac:dyDescent="0.55000000000000004">
      <c r="A229" s="46"/>
      <c r="B229" s="47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f>กระบี่!L229+ชุมพร!L229+ตรัง!L229+นครศรีธรรมราช!L229+นราธิวาส!L229+ปัตตานี!L229+พังงา!L229+พัทลุง!L229+ภูเก็ต!L229+ยะลา!L229+ระนอง!L229+สงขลา!L229+สตูล!L229+สุราษฎร์ธานี!L229</f>
        <v>0</v>
      </c>
      <c r="M229" s="58">
        <f>กระบี่!M229+ชุมพร!M229+ตรัง!M229+นครศรีธรรมราช!M229+นราธิวาส!M229+ปัตตานี!M229+พังงา!M229+พัทลุง!M229+ภูเก็ต!M229+ยะลา!M229+ระนอง!M229+สงขลา!M229+สตูล!M229+สุราษฎร์ธานี!M229</f>
        <v>0</v>
      </c>
      <c r="N229" s="58">
        <f t="shared" ref="N229:N232" si="22">+IF(L229&gt;0,M229*100/L229,0)</f>
        <v>0</v>
      </c>
    </row>
    <row r="230" spans="1:14" ht="21.75" customHeight="1" x14ac:dyDescent="0.55000000000000004">
      <c r="A230" s="46"/>
      <c r="B230" s="47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ca="1">กระบี่!L230+ชุมพร!L230+ตรัง!L230+นครศรีธรรมราช!L230+นราธิวาส!L230+ปัตตานี!L230+พังงา!L230+พัทลุง!L230+ภูเก็ต!L230+ยะลา!L230+ระนอง!L230+สงขลา!L230+สตูล!L230+สุราษฎร์ธานี!L230</f>
        <v>11889260</v>
      </c>
      <c r="M230" s="58">
        <f>กระบี่!M230+ชุมพร!M230+ตรัง!M230+นครศรีธรรมราช!M230+นราธิวาส!M230+ปัตตานี!M230+พังงา!M230+พัทลุง!M230+ภูเก็ต!M230+ยะลา!M230+ระนอง!M230+สงขลา!M230+สตูล!M230+สุราษฎร์ธานี!M230</f>
        <v>865737.23</v>
      </c>
      <c r="N230" s="58">
        <f t="shared" ca="1" si="22"/>
        <v>7.2816746374458967</v>
      </c>
    </row>
    <row r="231" spans="1:14" ht="21.75" customHeight="1" x14ac:dyDescent="0.55000000000000004">
      <c r="A231" s="46"/>
      <c r="B231" s="47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กระบี่!L231+ชุมพร!L231+ตรัง!L231+นครศรีธรรมราช!L231+นราธิวาส!L231+ปัตตานี!L231+พังงา!L231+พัทลุง!L231+ภูเก็ต!L231+ยะลา!L231+ระนอง!L231+สงขลา!L231+สตูล!L231+สุราษฎร์ธานี!L231</f>
        <v>6929700</v>
      </c>
      <c r="M231" s="59">
        <f>กระบี่!M231+ชุมพร!M231+ตรัง!M231+นครศรีธรรมราช!M231+นราธิวาส!M231+ปัตตานี!M231+พังงา!M231+พัทลุง!M231+ภูเก็ต!M231+ยะลา!M231+ระนอง!M231+สงขลา!M231+สตูล!M231+สุราษฎร์ธานี!M231</f>
        <v>512424.89999999997</v>
      </c>
      <c r="N231" s="58">
        <f t="shared" ca="1" si="22"/>
        <v>7.394618814667302</v>
      </c>
    </row>
    <row r="232" spans="1:14" ht="21.75" customHeight="1" x14ac:dyDescent="0.55000000000000004">
      <c r="A232" s="46"/>
      <c r="B232" s="47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กระบี่!L232+ชุมพร!L232+ตรัง!L232+นครศรีธรรมราช!L232+นราธิวาส!L232+ปัตตานี!L232+พังงา!L232+พัทลุง!L232+ภูเก็ต!L232+ยะลา!L232+ระนอง!L232+สงขลา!L232+สตูล!L232+สุราษฎร์ธานี!L232</f>
        <v>4959560</v>
      </c>
      <c r="M232" s="59">
        <f>กระบี่!M232+ชุมพร!M232+ตรัง!M232+นครศรีธรรมราช!M232+นราธิวาส!M232+ปัตตานี!M232+พังงา!M232+พัทลุง!M232+ภูเก็ต!M232+ยะลา!M232+ระนอง!M232+สงขลา!M232+สตูล!M232+สุราษฎร์ธานี!M232</f>
        <v>353312.33</v>
      </c>
      <c r="N232" s="58">
        <f t="shared" ca="1" si="22"/>
        <v>7.1238644153916884</v>
      </c>
    </row>
    <row r="233" spans="1:14" ht="21.75" customHeight="1" x14ac:dyDescent="0.55000000000000004">
      <c r="A233" s="60"/>
      <c r="B233" s="165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165"/>
      <c r="C234" s="67"/>
      <c r="D234" s="80"/>
      <c r="E234" s="79" t="s">
        <v>102</v>
      </c>
      <c r="F234" s="80"/>
      <c r="G234" s="81"/>
      <c r="H234" s="65" t="s">
        <v>16</v>
      </c>
      <c r="I234" s="214">
        <f>กระบี่!I234+ชุมพร!I234+ตรัง!I234+นครศรีธรรมราช!I234+นราธิวาส!I234+ปัตตานี!I234+พังงา!I234+พัทลุง!I234+ภูเก็ต!I234+ยะลา!I234+ระนอง!I234+สงขลา!I234+สตูล!I234+สุราษฎร์ธานี!I234</f>
        <v>0</v>
      </c>
      <c r="J234" s="73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293</v>
      </c>
      <c r="K234" s="215">
        <f t="shared" ref="K234:K241" si="23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165"/>
      <c r="C235" s="67"/>
      <c r="D235" s="80"/>
      <c r="E235" s="80"/>
      <c r="F235" s="80"/>
      <c r="G235" s="81"/>
      <c r="H235" s="65" t="s">
        <v>103</v>
      </c>
      <c r="I235" s="21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22324</v>
      </c>
      <c r="J235" s="73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3346.6299999999901</v>
      </c>
      <c r="K235" s="215">
        <f t="shared" ca="1" si="23"/>
        <v>14.991175416591965</v>
      </c>
      <c r="L235" s="66"/>
      <c r="M235" s="66"/>
      <c r="N235" s="216"/>
    </row>
    <row r="236" spans="1:14" ht="21.75" customHeight="1" x14ac:dyDescent="0.55000000000000004">
      <c r="A236" s="60"/>
      <c r="B236" s="165"/>
      <c r="C236" s="67"/>
      <c r="D236" s="80"/>
      <c r="E236" s="79" t="s">
        <v>104</v>
      </c>
      <c r="F236" s="80"/>
      <c r="G236" s="81"/>
      <c r="H236" s="65" t="s">
        <v>16</v>
      </c>
      <c r="I236" s="214">
        <f ca="1">กระบี่!I236+ชุมพร!I236+ตรัง!I236+นครศรีธรรมราช!I236+นราธิวาส!I236+ปัตตานี!I236+พังงา!I236+พัทลุง!I236+ภูเก็ต!I236+ยะลา!I236+ระนอง!I236+สงขลา!I236+สตูล!I236+สุราษฎร์ธานี!I236</f>
        <v>2553</v>
      </c>
      <c r="J236" s="73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234</v>
      </c>
      <c r="K236" s="215">
        <f t="shared" ca="1" si="23"/>
        <v>9.1656874265569925</v>
      </c>
      <c r="L236" s="66"/>
      <c r="M236" s="66"/>
      <c r="N236" s="216"/>
    </row>
    <row r="237" spans="1:14" ht="21.75" customHeight="1" x14ac:dyDescent="0.55000000000000004">
      <c r="A237" s="60"/>
      <c r="B237" s="165"/>
      <c r="C237" s="67"/>
      <c r="D237" s="80"/>
      <c r="E237" s="80"/>
      <c r="F237" s="80"/>
      <c r="G237" s="81"/>
      <c r="H237" s="65" t="s">
        <v>103</v>
      </c>
      <c r="I237" s="214">
        <f>กระบี่!I237+ชุมพร!I237+ตรัง!I237+นครศรีธรรมราช!I237+นราธิวาส!I237+ปัตตานี!I237+พังงา!I237+พัทลุง!I237+ภูเก็ต!I237+ยะลา!I237+ระนอง!I237+สงขลา!I237+สตูล!I237+สุราษฎร์ธานี!I237</f>
        <v>0</v>
      </c>
      <c r="J237" s="73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2991.33</v>
      </c>
      <c r="K237" s="215">
        <f t="shared" si="23"/>
        <v>0</v>
      </c>
      <c r="L237" s="66"/>
      <c r="M237" s="66"/>
      <c r="N237" s="216"/>
    </row>
    <row r="238" spans="1:14" ht="21.75" customHeight="1" x14ac:dyDescent="0.55000000000000004">
      <c r="A238" s="60"/>
      <c r="B238" s="165"/>
      <c r="C238" s="67"/>
      <c r="D238" s="80"/>
      <c r="E238" s="79" t="s">
        <v>105</v>
      </c>
      <c r="F238" s="80"/>
      <c r="G238" s="81"/>
      <c r="H238" s="65" t="s">
        <v>16</v>
      </c>
      <c r="I238" s="214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2553</v>
      </c>
      <c r="J238" s="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13</v>
      </c>
      <c r="K238" s="215">
        <f t="shared" ca="1" si="23"/>
        <v>0.50920485703094398</v>
      </c>
      <c r="L238" s="66"/>
      <c r="M238" s="66"/>
      <c r="N238" s="216"/>
    </row>
    <row r="239" spans="1:14" ht="21.75" customHeight="1" x14ac:dyDescent="0.55000000000000004">
      <c r="A239" s="60"/>
      <c r="B239" s="165"/>
      <c r="C239" s="67"/>
      <c r="D239" s="80"/>
      <c r="E239" s="80"/>
      <c r="F239" s="80"/>
      <c r="G239" s="81"/>
      <c r="H239" s="65" t="s">
        <v>103</v>
      </c>
      <c r="I239" s="214">
        <f>กระบี่!I239+ชุมพร!I239+ตรัง!I239+นครศรีธรรมราช!I239+นราธิวาส!I239+ปัตตานี!I239+พังงา!I239+พัทลุง!I239+ภูเก็ต!I239+ยะลา!I239+ระนอง!I239+สงขลา!I239+สตูล!I239+สุราษฎร์ธานี!I239</f>
        <v>0</v>
      </c>
      <c r="J239" s="73">
        <f ca="1">กระบี่!J239+ชุมพร!J239+ตรัง!J239+นครศรีธรรมราช!J239+นราธิวาส!J239+ปัตตานี!J239+พังงา!J239+พัทลุง!J239+ภูเก็ต!J239+ยะลา!J239+ระนอง!J239+สงขลา!J239+สตูล!J239+สุราษฎร์ธานี!J239</f>
        <v>161.84</v>
      </c>
      <c r="K239" s="215">
        <f t="shared" si="23"/>
        <v>0</v>
      </c>
      <c r="L239" s="66"/>
      <c r="M239" s="66"/>
      <c r="N239" s="216"/>
    </row>
    <row r="240" spans="1:14" ht="21.75" customHeight="1" x14ac:dyDescent="0.55000000000000004">
      <c r="A240" s="60"/>
      <c r="B240" s="165"/>
      <c r="C240" s="67"/>
      <c r="D240" s="80"/>
      <c r="E240" s="79" t="s">
        <v>106</v>
      </c>
      <c r="F240" s="80"/>
      <c r="G240" s="81"/>
      <c r="H240" s="65" t="s">
        <v>16</v>
      </c>
      <c r="I240" s="214">
        <f ca="1">กระบี่!I240+ชุมพร!I240+ตรัง!I240+นครศรีธรรมราช!I240+นราธิวาส!I240+ปัตตานี!I240+พังงา!I240+พัทลุง!I240+ภูเก็ต!I240+ยะลา!I240+ระนอง!I240+สงขลา!I240+สตูล!I240+สุราษฎร์ธานี!I240</f>
        <v>2553</v>
      </c>
      <c r="J240" s="73">
        <f ca="1">กระบี่!J240+ชุมพร!J240+ตรัง!J240+นครศรีธรรมราช!J240+นราธิวาส!J240+ปัตตานี!J240+พังงา!J240+พัทลุง!J240+ภูเก็ต!J240+ยะลา!J240+ระนอง!J240+สงขลา!J240+สตูล!J240+สุราษฎร์ธานี!J240</f>
        <v>151</v>
      </c>
      <c r="K240" s="215">
        <f t="shared" ca="1" si="23"/>
        <v>5.9146102624363497</v>
      </c>
      <c r="L240" s="66"/>
      <c r="M240" s="66"/>
      <c r="N240" s="216"/>
    </row>
    <row r="241" spans="1:14" ht="21.75" customHeight="1" x14ac:dyDescent="0.55000000000000004">
      <c r="A241" s="112"/>
      <c r="B241" s="217"/>
      <c r="C241" s="114"/>
      <c r="D241" s="218"/>
      <c r="E241" s="219"/>
      <c r="F241" s="219"/>
      <c r="G241" s="220"/>
      <c r="H241" s="221" t="s">
        <v>103</v>
      </c>
      <c r="I241" s="222">
        <f>กระบี่!I241+ชุมพร!I241+ตรัง!I241+นครศรีธรรมราช!I241+นราธิวาส!I241+ปัตตานี!I241+พังงา!I241+พัทลุง!I241+ภูเก็ต!I241+ยะลา!I241+ระนอง!I241+สงขลา!I241+สตูล!I241+สุราษฎร์ธานี!I241</f>
        <v>0</v>
      </c>
      <c r="J241" s="120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2102.7200000000003</v>
      </c>
      <c r="K241" s="215">
        <f t="shared" si="23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5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ca="1">กระบี่!L242+ชุมพร!L242+ตรัง!L242+นครศรีธรรมราช!L242+นราธิวาส!L242+ปัตตานี!L242+พังงา!L242+พัทลุง!L242+ภูเก็ต!L242+ยะลา!L242+ระนอง!L242+สงขลา!L242+สตูล!L242+สุราษฎร์ธานี!L242</f>
        <v>17196994</v>
      </c>
      <c r="M242" s="230">
        <f>กระบี่!M242+ชุมพร!M242+ตรัง!M242+นครศรีธรรมราช!M242+นราธิวาส!M242+ปัตตานี!M242+พังงา!M242+พัทลุง!M242+ภูเก็ต!M242+ยะลา!M242+ระนอง!M242+สงขลา!M242+สตูล!M242+สุราษฎร์ธานี!M242</f>
        <v>618989.78</v>
      </c>
      <c r="N242" s="230">
        <f ca="1">+IF(L242&gt;0,M242*100/L242,0)</f>
        <v>3.5994068498250336</v>
      </c>
    </row>
    <row r="243" spans="1:14" ht="21.75" customHeight="1" x14ac:dyDescent="0.55000000000000004">
      <c r="A243" s="231" t="s">
        <v>108</v>
      </c>
      <c r="B243" s="232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40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793</v>
      </c>
      <c r="J244" s="244">
        <f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20</v>
      </c>
      <c r="K244" s="245">
        <f t="shared" ref="K244:K245" ca="1" si="24">IF(I244&gt;0,J244*100/I244,0)</f>
        <v>2.5220680958385877</v>
      </c>
      <c r="L244" s="246">
        <f ca="1">กระบี่!L244+ชุมพร!L244+ตรัง!L244+นครศรีธรรมราช!L244+นราธิวาส!L244+ปัตตานี!L244+พังงา!L244+พัทลุง!L244+ภูเก็ต!L244+ยะลา!L244+ระนอง!L244+สงขลา!L244+สตูล!L244+สุราษฎร์ธานี!L244</f>
        <v>2192930</v>
      </c>
      <c r="M244" s="246">
        <f>กระบี่!M244+ชุมพร!M244+ตรัง!M244+นครศรีธรรมราช!M244+นราธิวาส!M244+ปัตตานี!M244+พังงา!M244+พัทลุง!M244+ภูเก็ต!M244+ยะลา!M244+ระนอง!M244+สงขลา!M244+สตูล!M244+สุราษฎร์ธานี!M244</f>
        <v>144902.72</v>
      </c>
      <c r="N244" s="246">
        <f ca="1">+IF(L244&gt;0,M244*100/L244,0)</f>
        <v>6.6077220887123618</v>
      </c>
    </row>
    <row r="245" spans="1:14" ht="21.75" customHeight="1" x14ac:dyDescent="0.55000000000000004">
      <c r="A245" s="239"/>
      <c r="B245" s="240"/>
      <c r="C245" s="241"/>
      <c r="D245" s="241"/>
      <c r="E245" s="241"/>
      <c r="F245" s="241"/>
      <c r="G245" s="242"/>
      <c r="H245" s="243" t="s">
        <v>16</v>
      </c>
      <c r="I245" s="244">
        <f ca="1">กระบี่!I245+ชุมพร!I245+ตรัง!I245+นครศรีธรรมราช!I245+นราธิวาส!I245+ปัตตานี!I245+พังงา!I245+พัทลุง!I245+ภูเก็ต!I245+ยะลา!I245+ระนอง!I245+สงขลา!I245+สตูล!I245+สุราษฎร์ธานี!I245</f>
        <v>257</v>
      </c>
      <c r="J245" s="244">
        <f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20</v>
      </c>
      <c r="K245" s="245">
        <f t="shared" ca="1" si="24"/>
        <v>7.782101167315175</v>
      </c>
      <c r="L245" s="246"/>
      <c r="M245" s="246"/>
      <c r="N245" s="246"/>
    </row>
    <row r="246" spans="1:14" ht="21.75" customHeight="1" x14ac:dyDescent="0.55000000000000004">
      <c r="A246" s="46"/>
      <c r="B246" s="47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f>กระบี่!L246+ชุมพร!L246+ตรัง!L246+นครศรีธรรมราช!L246+นราธิวาส!L246+ปัตตานี!L246+พังงา!L246+พัทลุง!L246+ภูเก็ต!L246+ยะลา!L246+ระนอง!L246+สงขลา!L246+สตูล!L246+สุราษฎร์ธานี!L246</f>
        <v>0</v>
      </c>
      <c r="M246" s="55">
        <f>กระบี่!M246+ชุมพร!M246+ตรัง!M246+นครศรีธรรมราช!M246+นราธิวาส!M246+ปัตตานี!M246+พังงา!M246+พัทลุง!M246+ภูเก็ต!M246+ยะลา!M246+ระนอง!M246+สงขลา!M246+สตูล!M246+สุราษฎร์ธานี!M246</f>
        <v>0</v>
      </c>
      <c r="N246" s="55">
        <f t="shared" ref="N246:N249" si="25">+IF(L246&gt;0,M246*100/L246,0)</f>
        <v>0</v>
      </c>
    </row>
    <row r="247" spans="1:14" ht="21.75" customHeight="1" x14ac:dyDescent="0.55000000000000004">
      <c r="A247" s="46"/>
      <c r="B247" s="47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ca="1">กระบี่!L247+ชุมพร!L247+ตรัง!L247+นครศรีธรรมราช!L247+นราธิวาส!L247+ปัตตานี!L247+พังงา!L247+พัทลุง!L247+ภูเก็ต!L247+ยะลา!L247+ระนอง!L247+สงขลา!L247+สตูล!L247+สุราษฎร์ธานี!L247</f>
        <v>2192930</v>
      </c>
      <c r="M247" s="55">
        <f>กระบี่!M247+ชุมพร!M247+ตรัง!M247+นครศรีธรรมราช!M247+นราธิวาส!M247+ปัตตานี!M247+พังงา!M247+พัทลุง!M247+ภูเก็ต!M247+ยะลา!M247+ระนอง!M247+สงขลา!M247+สตูล!M247+สุราษฎร์ธานี!M247</f>
        <v>144902.72</v>
      </c>
      <c r="N247" s="55">
        <f t="shared" ca="1" si="25"/>
        <v>6.6077220887123618</v>
      </c>
    </row>
    <row r="248" spans="1:14" ht="21.75" customHeight="1" x14ac:dyDescent="0.55000000000000004">
      <c r="A248" s="46"/>
      <c r="B248" s="47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กระบี่!L248+ชุมพร!L248+ตรัง!L248+นครศรีธรรมราช!L248+นราธิวาส!L248+ปัตตานี!L248+พังงา!L248+พัทลุง!L248+ภูเก็ต!L248+ยะลา!L248+ระนอง!L248+สงขลา!L248+สตูล!L248+สุราษฎร์ธานี!L248</f>
        <v>0</v>
      </c>
      <c r="M248" s="58">
        <f>กระบี่!M248+ชุมพร!M248+ตรัง!M248+นครศรีธรรมราช!M248+นราธิวาส!M248+ปัตตานี!M248+พังงา!M248+พัทลุง!M248+ภูเก็ต!M248+ยะลา!M248+ระนอง!M248+สงขลา!M248+สตูล!M248+สุราษฎร์ธานี!M248</f>
        <v>0</v>
      </c>
      <c r="N248" s="58">
        <f t="shared" ca="1" si="25"/>
        <v>0</v>
      </c>
    </row>
    <row r="249" spans="1:14" ht="21.75" customHeight="1" x14ac:dyDescent="0.55000000000000004">
      <c r="A249" s="46"/>
      <c r="B249" s="47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กระบี่!L249+ชุมพร!L249+ตรัง!L249+นครศรีธรรมราช!L249+นราธิวาส!L249+ปัตตานี!L249+พังงา!L249+พัทลุง!L249+ภูเก็ต!L249+ยะลา!L249+ระนอง!L249+สงขลา!L249+สตูล!L249+สุราษฎร์ธานี!L249</f>
        <v>2192930</v>
      </c>
      <c r="M249" s="58">
        <f>กระบี่!M249+ชุมพร!M249+ตรัง!M249+นครศรีธรรมราช!M249+นราธิวาส!M249+ปัตตานี!M249+พังงา!M249+พัทลุง!M249+ภูเก็ต!M249+ยะลา!M249+ระนอง!M249+สงขลา!M249+สตูล!M249+สุราษฎร์ธานี!M249</f>
        <v>144902.72</v>
      </c>
      <c r="N249" s="58">
        <f t="shared" ca="1" si="25"/>
        <v>6.6077220887123618</v>
      </c>
    </row>
    <row r="250" spans="1:14" ht="21.75" customHeight="1" x14ac:dyDescent="0.55000000000000004">
      <c r="A250" s="247"/>
      <c r="B250" s="248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f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50520</v>
      </c>
      <c r="N250" s="58"/>
    </row>
    <row r="251" spans="1:14" ht="21.75" customHeight="1" x14ac:dyDescent="0.55000000000000004">
      <c r="A251" s="247"/>
      <c r="B251" s="248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58"/>
    </row>
    <row r="252" spans="1:14" ht="21.75" customHeight="1" x14ac:dyDescent="0.55000000000000004">
      <c r="A252" s="247"/>
      <c r="B252" s="248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f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63698.630000000005</v>
      </c>
      <c r="N252" s="58"/>
    </row>
    <row r="253" spans="1:14" ht="21.75" customHeight="1" x14ac:dyDescent="0.55000000000000004">
      <c r="A253" s="247"/>
      <c r="B253" s="248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30684.09</v>
      </c>
      <c r="N253" s="58"/>
    </row>
    <row r="254" spans="1:14" ht="21.75" customHeight="1" x14ac:dyDescent="0.55000000000000004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1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f>กระบี่!J255+ชุมพร!J255+ตรัง!J255+นครศรีธรรมราช!J255+นราธิวาส!J255+ปัตตานี!J255+พังงา!J255+พัทลุง!J255+ภูเก็ต!J255+ยะลา!J255+ระนอง!J255+สงขลา!J255+สตูล!J255+สุราษฎร์ธานี!J255</f>
        <v>1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1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f>กระบี่!J256+ชุมพร!J256+ตรัง!J256+นครศรีธรรมราช!J256+นราธิวาส!J256+ปัตตานี!J256+พังงา!J256+พัทลุง!J256+ภูเก็ต!J256+ยะลา!J256+ระนอง!J256+สงขลา!J256+สตูล!J256+สุราษฎร์ธานี!J256</f>
        <v>7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1"/>
      <c r="C257" s="67"/>
      <c r="D257" s="61"/>
      <c r="E257" s="79" t="s">
        <v>28</v>
      </c>
      <c r="F257" s="80"/>
      <c r="G257" s="81"/>
      <c r="H257" s="72"/>
      <c r="I257" s="73"/>
      <c r="J257" s="74">
        <f>กระบี่!J257+ชุมพร!J257+ตรัง!J257+นครศรีธรรมราช!J257+นราธิวาส!J257+ปัตตานี!J257+พังงา!J257+พัทลุง!J257+ภูเก็ต!J257+ยะลา!J257+ระนอง!J257+สงขลา!J257+สตูล!J257+สุราษฎร์ธานี!J257</f>
        <v>6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1"/>
      <c r="C258" s="67"/>
      <c r="D258" s="61"/>
      <c r="E258" s="79" t="s">
        <v>29</v>
      </c>
      <c r="F258" s="80"/>
      <c r="G258" s="81"/>
      <c r="H258" s="72"/>
      <c r="I258" s="73"/>
      <c r="J258" s="74">
        <f>กระบี่!J258+ชุมพร!J258+ตรัง!J258+นครศรีธรรมราช!J258+นราธิวาส!J258+ปัตตานี!J258+พังงา!J258+พัทลุง!J258+ภูเก็ต!J258+ยะลา!J258+ระนอง!J258+สงขลา!J258+สตูล!J258+สุราษฎร์ธานี!J258</f>
        <v>4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1"/>
      <c r="C259" s="67"/>
      <c r="D259" s="61"/>
      <c r="E259" s="82"/>
      <c r="F259" s="79" t="s">
        <v>50</v>
      </c>
      <c r="G259" s="81"/>
      <c r="H259" s="65"/>
      <c r="I259" s="73"/>
      <c r="J259" s="73">
        <f>กระบี่!J259+ชุมพร!J259+ตรัง!J259+นครศรีธรรมราช!J259+นราธิวาส!J259+ปัตตานี!J259+พังงา!J259+พัทลุง!J259+ภูเก็ต!J259+ยะลา!J259+ระนอง!J259+สงขลา!J259+สตูล!J259+สุราษฎร์ธานี!J259</f>
        <v>20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1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กระบี่!I260+ชุมพร!I260+ตรัง!I260+นครศรีธรรมราช!I260+นราธิวาส!I260+ปัตตานี!I260+พังงา!I260+พัทลุง!I260+ภูเก็ต!I260+ยะลา!I260+ระนอง!I260+สงขลา!I260+สตูล!I260+สุราษฎร์ธานี!I260</f>
        <v>0</v>
      </c>
      <c r="J260" s="74">
        <f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1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1"/>
      <c r="C262" s="67"/>
      <c r="D262" s="61"/>
      <c r="E262" s="82"/>
      <c r="F262" s="80"/>
      <c r="G262" s="105" t="s">
        <v>118</v>
      </c>
      <c r="H262" s="72" t="s">
        <v>103</v>
      </c>
      <c r="I262" s="73">
        <f ca="1">กระบี่!I262+ชุมพร!I262+ตรัง!I262+นครศรีธรรมราช!I262+นราธิวาส!I262+ปัตตานี!I262+พังงา!I262+พัทลุง!I262+ภูเก็ต!I262+ยะลา!I262+ระนอง!I262+สงขลา!I262+สตูล!I262+สุราษฎร์ธานี!I262</f>
        <v>793</v>
      </c>
      <c r="J262" s="73">
        <f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0</v>
      </c>
      <c r="K262" s="54">
        <f t="shared" ref="K262:K268" ca="1" si="26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73">
        <f ca="1">กระบี่!I263+ชุมพร!I263+ตรัง!I263+นครศรีธรรมราช!I263+นราธิวาส!I263+ปัตตานี!I263+พังงา!I263+พัทลุง!I263+ภูเก็ต!I263+ยะลา!I263+ระนอง!I263+สงขลา!I263+สตูล!I263+สุราษฎร์ธานี!I263</f>
        <v>257</v>
      </c>
      <c r="J263" s="73">
        <f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20</v>
      </c>
      <c r="K263" s="54">
        <f t="shared" ca="1" si="26"/>
        <v>7.782101167315175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543</v>
      </c>
      <c r="J264" s="74">
        <f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0</v>
      </c>
      <c r="K264" s="54">
        <f t="shared" ca="1" si="26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257</v>
      </c>
      <c r="J265" s="74">
        <f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10</v>
      </c>
      <c r="K265" s="54">
        <f t="shared" ca="1" si="26"/>
        <v>3.8910505836575875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250</v>
      </c>
      <c r="J266" s="74">
        <f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54">
        <f t="shared" ca="1" si="26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257</v>
      </c>
      <c r="J267" s="74">
        <f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20</v>
      </c>
      <c r="K267" s="54">
        <f t="shared" ca="1" si="26"/>
        <v>7.782101167315175</v>
      </c>
      <c r="L267" s="66"/>
      <c r="M267" s="66"/>
      <c r="N267" s="66"/>
    </row>
    <row r="268" spans="1:14" ht="21.75" hidden="1" customHeight="1" x14ac:dyDescent="0.55000000000000004">
      <c r="A268" s="60"/>
      <c r="B268" s="61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กระบี่!I268+ชุมพร!I268+ตรัง!I268+นครศรีธรรมราช!I268+นราธิวาส!I268+ปัตตานี!I268+พังงา!I268+พัทลุง!I268+ภูเก็ต!I268+ยะลา!I268+ระนอง!I268+สงขลา!I268+สตูล!I268+สุราษฎร์ธานี!I268</f>
        <v>0</v>
      </c>
      <c r="J268" s="74">
        <f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54">
        <f t="shared" ca="1" si="26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1"/>
      <c r="C269" s="67"/>
      <c r="D269" s="61"/>
      <c r="E269" s="82"/>
      <c r="F269" s="80"/>
      <c r="G269" s="81" t="s">
        <v>123</v>
      </c>
      <c r="H269" s="65"/>
      <c r="I269" s="5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1"/>
      <c r="C270" s="67"/>
      <c r="D270" s="61"/>
      <c r="E270" s="80"/>
      <c r="F270" s="79" t="s">
        <v>34</v>
      </c>
      <c r="G270" s="81"/>
      <c r="H270" s="72" t="s">
        <v>103</v>
      </c>
      <c r="I270" s="73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793</v>
      </c>
      <c r="J270" s="73">
        <f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20</v>
      </c>
      <c r="K270" s="54">
        <f t="shared" ref="K270:K272" ca="1" si="27">IF(I270&gt;0,J270*100/I270,0)</f>
        <v>2.5220680958385877</v>
      </c>
      <c r="L270" s="66"/>
      <c r="M270" s="66"/>
      <c r="N270" s="66"/>
    </row>
    <row r="271" spans="1:14" ht="21.75" customHeight="1" x14ac:dyDescent="0.55000000000000004">
      <c r="A271" s="60"/>
      <c r="B271" s="61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กระบี่!I271+ชุมพร!I271+ตรัง!I271+นครศรีธรรมราช!I271+นราธิวาส!I271+ปัตตานี!I271+พังงา!I271+พัทลุง!I271+ภูเก็ต!I271+ยะลา!I271+ระนอง!I271+สงขลา!I271+สตูล!I271+สุราษฎร์ธานี!I271</f>
        <v>250</v>
      </c>
      <c r="J271" s="74">
        <f>กระบี่!J271+ชุมพร!J271+ตรัง!J271+นครศรีธรรมราช!J271+นราธิวาส!J271+ปัตตานี!J271+พังงา!J271+พัทลุง!J271+ภูเก็ต!J271+ยะลา!J271+ระนอง!J271+สงขลา!J271+สตูล!J271+สุราษฎร์ธานี!J271</f>
        <v>20</v>
      </c>
      <c r="K271" s="54">
        <f t="shared" ca="1" si="27"/>
        <v>8</v>
      </c>
      <c r="L271" s="66"/>
      <c r="M271" s="66"/>
      <c r="N271" s="66"/>
    </row>
    <row r="272" spans="1:14" ht="21.75" customHeight="1" x14ac:dyDescent="0.55000000000000004">
      <c r="A272" s="60"/>
      <c r="B272" s="61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กระบี่!I272+ชุมพร!I272+ตรัง!I272+นครศรีธรรมราช!I272+นราธิวาส!I272+ปัตตานี!I272+พังงา!I272+พัทลุง!I272+ภูเก็ต!I272+ยะลา!I272+ระนอง!I272+สงขลา!I272+สตูล!I272+สุราษฎร์ธานี!I272</f>
        <v>543</v>
      </c>
      <c r="J272" s="74">
        <f>กระบี่!J272+ชุมพร!J272+ตรัง!J272+นครศรีธรรมราช!J272+นราธิวาส!J272+ปัตตานี!J272+พังงา!J272+พัทลุง!J272+ภูเก็ต!J272+ยะลา!J272+ระนอง!J272+สงขลา!J272+สตูล!J272+สุราษฎร์ธานี!J272</f>
        <v>0</v>
      </c>
      <c r="K272" s="54">
        <f t="shared" ca="1" si="27"/>
        <v>0</v>
      </c>
      <c r="L272" s="66"/>
      <c r="M272" s="66"/>
      <c r="N272" s="66"/>
    </row>
    <row r="273" spans="1:14" ht="21.75" customHeight="1" x14ac:dyDescent="0.55000000000000004">
      <c r="A273" s="60"/>
      <c r="B273" s="61"/>
      <c r="C273" s="67"/>
      <c r="D273" s="61"/>
      <c r="E273" s="79" t="s">
        <v>35</v>
      </c>
      <c r="F273" s="80"/>
      <c r="G273" s="81"/>
      <c r="H273" s="72"/>
      <c r="I273" s="73"/>
      <c r="J273" s="74">
        <f>กระบี่!J273+ชุมพร!J273+ตรัง!J273+นครศรีธรรมราช!J273+นราธิวาส!J273+ปัตตานี!J273+พังงา!J273+พัทลุง!J273+ภูเก็ต!J273+ยะลา!J273+ระนอง!J273+สงขลา!J273+สตูล!J273+สุราษฎร์ธานี!J273</f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1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f>กระบี่!J274+ชุมพร!J274+ตรัง!J274+นครศรีธรรมราช!J274+นราธิวาส!J274+ปัตตานี!J274+พังงา!J274+พัทลุง!J274+ภูเก็ต!J274+ยะลา!J274+ระนอง!J274+สงขลา!J274+สตูล!J274+สุราษฎร์ธานี!J274</f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40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กระบี่!I275+ชุมพร!I275+ตรัง!I275+นครศรีธรรมราช!I275+นราธิวาส!I275+ปัตตานี!I275+พังงา!I275+พัทลุง!I275+ภูเก็ต!I275+ยะลา!I275+ระนอง!I275+สงขลา!I275+สตูล!I275+สุราษฎร์ธานี!I275</f>
        <v>4700</v>
      </c>
      <c r="J275" s="244">
        <f>กระบี่!J275+ชุมพร!J275+ตรัง!J275+นครศรีธรรมราช!J275+นราธิวาส!J275+ปัตตานี!J275+พังงา!J275+พัทลุง!J275+ภูเก็ต!J275+ยะลา!J275+ระนอง!J275+สงขลา!J275+สตูล!J275+สุราษฎร์ธานี!J275</f>
        <v>0</v>
      </c>
      <c r="K275" s="245">
        <f t="shared" ref="K275:K276" ca="1" si="28">IF(I275&gt;0,J275*100/I275,0)</f>
        <v>0</v>
      </c>
      <c r="L275" s="246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4832540</v>
      </c>
      <c r="M275" s="246">
        <f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45262.17</v>
      </c>
      <c r="N275" s="246">
        <f ca="1">+IF(L275&gt;0,M275*100/L275,0)</f>
        <v>0.93661242328051086</v>
      </c>
    </row>
    <row r="276" spans="1:14" ht="21.75" customHeight="1" x14ac:dyDescent="0.55000000000000004">
      <c r="A276" s="239"/>
      <c r="B276" s="240"/>
      <c r="C276" s="241"/>
      <c r="D276" s="253"/>
      <c r="E276" s="254"/>
      <c r="F276" s="254"/>
      <c r="G276" s="255"/>
      <c r="H276" s="243" t="s">
        <v>16</v>
      </c>
      <c r="I276" s="244">
        <f ca="1">กระบี่!I276+ชุมพร!I276+ตรัง!I276+นครศรีธรรมราช!I276+นราธิวาส!I276+ปัตตานี!I276+พังงา!I276+พัทลุง!I276+ภูเก็ต!I276+ยะลา!I276+ระนอง!I276+สงขลา!I276+สตูล!I276+สุราษฎร์ธานี!I276</f>
        <v>470</v>
      </c>
      <c r="J276" s="244">
        <f>กระบี่!J276+ชุมพร!J276+ตรัง!J276+นครศรีธรรมราช!J276+นราธิวาส!J276+ปัตตานี!J276+พังงา!J276+พัทลุง!J276+ภูเก็ต!J276+ยะลา!J276+ระนอง!J276+สงขลา!J276+สตูล!J276+สุราษฎร์ธานี!J276</f>
        <v>0</v>
      </c>
      <c r="K276" s="245">
        <f t="shared" ca="1" si="28"/>
        <v>0</v>
      </c>
      <c r="L276" s="246"/>
      <c r="M276" s="246"/>
      <c r="N276" s="246"/>
    </row>
    <row r="277" spans="1:14" ht="21.75" customHeight="1" x14ac:dyDescent="0.55000000000000004">
      <c r="A277" s="46"/>
      <c r="B277" s="47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f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0</v>
      </c>
      <c r="M277" s="55">
        <f>กระบี่!M277+ชุมพร!M277+ตรัง!M277+นครศรีธรรมราช!M277+นราธิวาส!M277+ปัตตานี!M277+พังงา!M277+พัทลุง!M277+ภูเก็ต!M277+ยะลา!M277+ระนอง!M277+สงขลา!M277+สตูล!M277+สุราษฎร์ธานี!M277</f>
        <v>0</v>
      </c>
      <c r="N277" s="55">
        <f t="shared" ref="N277:N280" si="29">+IF(L277&gt;0,M277*100/L277,0)</f>
        <v>0</v>
      </c>
    </row>
    <row r="278" spans="1:14" ht="21.75" customHeight="1" x14ac:dyDescent="0.55000000000000004">
      <c r="A278" s="46"/>
      <c r="B278" s="47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ca="1"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4832540</v>
      </c>
      <c r="M278" s="55">
        <f>กระบี่!M278+ชุมพร!M278+ตรัง!M278+นครศรีธรรมราช!M278+นราธิวาส!M278+ปัตตานี!M278+พังงา!M278+พัทลุง!M278+ภูเก็ต!M278+ยะลา!M278+ระนอง!M278+สงขลา!M278+สตูล!M278+สุราษฎร์ธานี!M278</f>
        <v>45262.17</v>
      </c>
      <c r="N278" s="55">
        <f t="shared" ca="1" si="29"/>
        <v>0.93661242328051086</v>
      </c>
    </row>
    <row r="279" spans="1:14" ht="21.75" customHeight="1" x14ac:dyDescent="0.55000000000000004">
      <c r="A279" s="46"/>
      <c r="B279" s="47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58">
        <f>กระบี่!M279+ชุมพร!M279+ตรัง!M279+นครศรีธรรมราช!M279+นราธิวาส!M279+ปัตตานี!M279+พังงา!M279+พัทลุง!M279+ภูเก็ต!M279+ยะลา!M279+ระนอง!M279+สงขลา!M279+สตูล!M279+สุราษฎร์ธานี!M279</f>
        <v>0</v>
      </c>
      <c r="N279" s="58">
        <f t="shared" ca="1" si="29"/>
        <v>0</v>
      </c>
    </row>
    <row r="280" spans="1:14" ht="21.75" customHeight="1" x14ac:dyDescent="0.55000000000000004">
      <c r="A280" s="46"/>
      <c r="B280" s="47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กระบี่!L280+ชุมพร!L280+ตรัง!L280+นครศรีธรรมราช!L280+นราธิวาส!L280+ปัตตานี!L280+พังงา!L280+พัทลุง!L280+ภูเก็ต!L280+ยะลา!L280+ระนอง!L280+สงขลา!L280+สตูล!L280+สุราษฎร์ธานี!L280</f>
        <v>4832540</v>
      </c>
      <c r="M280" s="58">
        <f>กระบี่!M280+ชุมพร!M280+ตรัง!M280+นครศรีธรรมราช!M280+นราธิวาส!M280+ปัตตานี!M280+พังงา!M280+พัทลุง!M280+ภูเก็ต!M280+ยะลา!M280+ระนอง!M280+สงขลา!M280+สตูล!M280+สุราษฎร์ธานี!M280</f>
        <v>45262.17</v>
      </c>
      <c r="N280" s="58">
        <f t="shared" ca="1" si="29"/>
        <v>0.93661242328051086</v>
      </c>
    </row>
    <row r="281" spans="1:14" ht="21.75" customHeight="1" x14ac:dyDescent="0.55000000000000004">
      <c r="A281" s="247"/>
      <c r="B281" s="248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f>กระบี่!M281+ชุมพร!M281+ตรัง!M281+นครศรีธรรมราช!M281+นราธิวาส!M281+ปัตตานี!M281+พังงา!M281+พัทลุง!M281+ภูเก็ต!M281+ยะลา!M281+ระนอง!M281+สงขลา!M281+สตูล!M281+สุราษฎร์ธานี!M281</f>
        <v>0</v>
      </c>
      <c r="N281" s="58"/>
    </row>
    <row r="282" spans="1:14" ht="21.75" customHeight="1" x14ac:dyDescent="0.55000000000000004">
      <c r="A282" s="247"/>
      <c r="B282" s="248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f>กระบี่!M282+ชุมพร!M282+ตรัง!M282+นครศรีธรรมราช!M282+นราธิวาส!M282+ปัตตานี!M282+พังงา!M282+พัทลุง!M282+ภูเก็ต!M282+ยะลา!M282+ระนอง!M282+สงขลา!M282+สตูล!M282+สุราษฎร์ธานี!M282</f>
        <v>0</v>
      </c>
      <c r="N282" s="58"/>
    </row>
    <row r="283" spans="1:14" ht="21.75" customHeight="1" x14ac:dyDescent="0.55000000000000004">
      <c r="A283" s="247"/>
      <c r="B283" s="248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f>กระบี่!M283+ชุมพร!M283+ตรัง!M283+นครศรีธรรมราช!M283+นราธิวาส!M283+ปัตตานี!M283+พังงา!M283+พัทลุง!M283+ภูเก็ต!M283+ยะลา!M283+ระนอง!M283+สงขลา!M283+สตูล!M283+สุราษฎร์ธานี!M283</f>
        <v>40202.17</v>
      </c>
      <c r="N283" s="58"/>
    </row>
    <row r="284" spans="1:14" ht="21.75" customHeight="1" x14ac:dyDescent="0.55000000000000004">
      <c r="A284" s="247"/>
      <c r="B284" s="248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f>กระบี่!M284+ชุมพร!M284+ตรัง!M284+นครศรีธรรมราช!M284+นราธิวาส!M284+ปัตตานี!M284+พังงา!M284+พัทลุง!M284+ภูเก็ต!M284+ยะลา!M284+ระนอง!M284+สงขลา!M284+สตูล!M284+สุราษฎร์ธานี!M284</f>
        <v>5060</v>
      </c>
      <c r="N284" s="58"/>
    </row>
    <row r="285" spans="1:14" ht="21.75" customHeight="1" x14ac:dyDescent="0.55000000000000004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1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f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2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1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f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12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1"/>
      <c r="C288" s="67"/>
      <c r="D288" s="61"/>
      <c r="E288" s="79" t="s">
        <v>28</v>
      </c>
      <c r="F288" s="80"/>
      <c r="G288" s="81"/>
      <c r="H288" s="72"/>
      <c r="I288" s="73"/>
      <c r="J288" s="74">
        <f>กระบี่!J288+ชุมพร!J288+ตรัง!J288+นครศรีธรรมราช!J288+นราธิวาส!J288+ปัตตานี!J288+พังงา!J288+พัทลุง!J288+ภูเก็ต!J288+ยะลา!J288+ระนอง!J288+สงขลา!J288+สตูล!J288+สุราษฎร์ธานี!J288</f>
        <v>9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1"/>
      <c r="C289" s="67"/>
      <c r="D289" s="61"/>
      <c r="E289" s="79" t="s">
        <v>29</v>
      </c>
      <c r="F289" s="80"/>
      <c r="G289" s="81"/>
      <c r="H289" s="72"/>
      <c r="I289" s="73"/>
      <c r="J289" s="74">
        <f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7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1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1"/>
      <c r="C291" s="67"/>
      <c r="D291" s="61"/>
      <c r="E291" s="82"/>
      <c r="F291" s="80"/>
      <c r="G291" s="105" t="s">
        <v>50</v>
      </c>
      <c r="H291" s="72" t="s">
        <v>16</v>
      </c>
      <c r="I291" s="73">
        <f ca="1">กระบี่!I291+ชุมพร!I291+ตรัง!I291+นครศรีธรรมราช!I291+นราธิวาส!I291+ปัตตานี!I291+พังงา!I291+พัทลุง!I291+ภูเก็ต!I291+ยะลา!I291+ระนอง!I291+สงขลา!I291+สตูล!I291+สุราษฎร์ธานี!I291</f>
        <v>470</v>
      </c>
      <c r="J291" s="74">
        <f>กระบี่!J291+ชุมพร!J291+ตรัง!J291+นครศรีธรรมราช!J291+นราธิวาส!J291+ปัตตานี!J291+พังงา!J291+พัทลุง!J291+ภูเก็ต!J291+ยะลา!J291+ระนอง!J291+สงขลา!J291+สตูล!J291+สุราษฎร์ธานี!J291</f>
        <v>0</v>
      </c>
      <c r="K291" s="54">
        <f t="shared" ref="K291:K293" ca="1" si="30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1"/>
      <c r="C292" s="67"/>
      <c r="D292" s="61"/>
      <c r="E292" s="82"/>
      <c r="F292" s="80"/>
      <c r="G292" s="81" t="s">
        <v>34</v>
      </c>
      <c r="H292" s="72" t="s">
        <v>103</v>
      </c>
      <c r="I292" s="73">
        <f ca="1">กระบี่!I292+ชุมพร!I292+ตรัง!I292+นครศรีธรรมราช!I292+นราธิวาส!I292+ปัตตานี!I292+พังงา!I292+พัทลุง!I292+ภูเก็ต!I292+ยะลา!I292+ระนอง!I292+สงขลา!I292+สตูล!I292+สุราษฎร์ธานี!I292</f>
        <v>4700</v>
      </c>
      <c r="J292" s="74">
        <f>กระบี่!J292+ชุมพร!J292+ตรัง!J292+นครศรีธรรมราช!J292+นราธิวาส!J292+ปัตตานี!J292+พังงา!J292+พัทลุง!J292+ภูเก็ต!J292+ยะลา!J292+ระนอง!J292+สงขลา!J292+สตูล!J292+สุราษฎร์ธานี!J292</f>
        <v>0</v>
      </c>
      <c r="K292" s="54">
        <f t="shared" ca="1" si="30"/>
        <v>0</v>
      </c>
      <c r="L292" s="66"/>
      <c r="M292" s="66"/>
      <c r="N292" s="66"/>
    </row>
    <row r="293" spans="1:14" ht="21.75" customHeight="1" x14ac:dyDescent="0.55000000000000004">
      <c r="A293" s="60"/>
      <c r="B293" s="61"/>
      <c r="C293" s="67"/>
      <c r="D293" s="61"/>
      <c r="E293" s="82"/>
      <c r="F293" s="80"/>
      <c r="G293" s="81"/>
      <c r="H293" s="72" t="s">
        <v>16</v>
      </c>
      <c r="I293" s="73">
        <f ca="1">กระบี่!I293+ชุมพร!I293+ตรัง!I293+นครศรีธรรมราช!I293+นราธิวาส!I293+ปัตตานี!I293+พังงา!I293+พัทลุง!I293+ภูเก็ต!I293+ยะลา!I293+ระนอง!I293+สงขลา!I293+สตูล!I293+สุราษฎร์ธานี!I293</f>
        <v>470</v>
      </c>
      <c r="J293" s="74">
        <f>กระบี่!J293+ชุมพร!J293+ตรัง!J293+นครศรีธรรมราช!J293+นราธิวาส!J293+ปัตตานี!J293+พังงา!J293+พัทลุง!J293+ภูเก็ต!J293+ยะลา!J293+ระนอง!J293+สงขลา!J293+สตูล!J293+สุราษฎร์ธานี!J293</f>
        <v>0</v>
      </c>
      <c r="K293" s="54">
        <f t="shared" ca="1" si="30"/>
        <v>0</v>
      </c>
      <c r="L293" s="66"/>
      <c r="M293" s="66"/>
      <c r="N293" s="66"/>
    </row>
    <row r="294" spans="1:14" ht="21.75" customHeight="1" x14ac:dyDescent="0.55000000000000004">
      <c r="A294" s="60"/>
      <c r="B294" s="61"/>
      <c r="C294" s="67"/>
      <c r="D294" s="61"/>
      <c r="E294" s="79" t="s">
        <v>35</v>
      </c>
      <c r="F294" s="80"/>
      <c r="G294" s="81"/>
      <c r="H294" s="72"/>
      <c r="I294" s="73"/>
      <c r="J294" s="74">
        <f>กระบี่!J294+ชุมพร!J294+ตรัง!J294+นครศรีธรรมราช!J294+นราธิวาส!J294+ปัตตานี!J294+พังงา!J294+พัทลุง!J294+ภูเก็ต!J294+ยะลา!J294+ระนอง!J294+สงขลา!J294+สตูล!J294+สุราษฎร์ธานี!J294</f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1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f>กระบี่!J295+ชุมพร!J295+ตรัง!J295+นครศรีธรรมราช!J295+นราธิวาส!J295+ปัตตานี!J295+พังงา!J295+พัทลุง!J295+ภูเก็ต!J295+ยะลา!J295+ระนอง!J295+สงขลา!J295+สตูล!J295+สุราษฎร์ธานี!J295</f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40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กระบี่!I296+ชุมพร!I296+ตรัง!I296+นครศรีธรรมราช!I296+นราธิวาส!I296+ปัตตานี!I296+พังงา!I296+พัทลุง!I296+ภูเก็ต!I296+ยะลา!I296+ระนอง!I296+สงขลา!I296+สตูล!I296+สุราษฎร์ธานี!I296</f>
        <v>1620</v>
      </c>
      <c r="J296" s="244">
        <f>กระบี่!J296+ชุมพร!J296+ตรัง!J296+นครศรีธรรมราช!J296+นราธิวาส!J296+ปัตตานี!J296+พังงา!J296+พัทลุง!J296+ภูเก็ต!J296+ยะลา!J296+ระนอง!J296+สงขลา!J296+สตูล!J296+สุราษฎร์ธานี!J296</f>
        <v>45</v>
      </c>
      <c r="K296" s="245">
        <f t="shared" ref="K296:K297" ca="1" si="31">IF(I296&gt;0,J296*100/I296,0)</f>
        <v>2.7777777777777777</v>
      </c>
      <c r="L296" s="246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1883810</v>
      </c>
      <c r="M296" s="246">
        <f>กระบี่!M296+ชุมพร!M296+ตรัง!M296+นครศรีธรรมราช!M296+นราธิวาส!M296+ปัตตานี!M296+พังงา!M296+พัทลุง!M296+ภูเก็ต!M296+ยะลา!M296+ระนอง!M296+สงขลา!M296+สตูล!M296+สุราษฎร์ธานี!M296</f>
        <v>26360</v>
      </c>
      <c r="N296" s="246">
        <f ca="1">+IF(L296&gt;0,M296*100/L296,0)</f>
        <v>1.3992918606441203</v>
      </c>
    </row>
    <row r="297" spans="1:14" ht="21.75" customHeight="1" x14ac:dyDescent="0.55000000000000004">
      <c r="A297" s="239"/>
      <c r="B297" s="240"/>
      <c r="C297" s="256"/>
      <c r="D297" s="253"/>
      <c r="E297" s="253"/>
      <c r="F297" s="253"/>
      <c r="G297" s="257"/>
      <c r="H297" s="243" t="s">
        <v>16</v>
      </c>
      <c r="I297" s="244">
        <f ca="1">กระบี่!I297+ชุมพร!I297+ตรัง!I297+นครศรีธรรมราช!I297+นราธิวาส!I297+ปัตตานี!I297+พังงา!I297+พัทลุง!I297+ภูเก็ต!I297+ยะลา!I297+ระนอง!I297+สงขลา!I297+สตูล!I297+สุราษฎร์ธานี!I297</f>
        <v>540</v>
      </c>
      <c r="J297" s="244">
        <f ca="1">กระบี่!J297+ชุมพร!J297+ตรัง!J297+นครศรีธรรมราช!J297+นราธิวาส!J297+ปัตตานี!J297+พังงา!J297+พัทลุง!J297+ภูเก็ต!J297+ยะลา!J297+ระนอง!J297+สงขลา!J297+สตูล!J297+สุราษฎร์ธานี!J297</f>
        <v>30</v>
      </c>
      <c r="K297" s="245">
        <f t="shared" ca="1" si="31"/>
        <v>5.5555555555555554</v>
      </c>
      <c r="L297" s="246"/>
      <c r="M297" s="246"/>
      <c r="N297" s="246"/>
    </row>
    <row r="298" spans="1:14" ht="21.75" customHeight="1" x14ac:dyDescent="0.55000000000000004">
      <c r="A298" s="46"/>
      <c r="B298" s="47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f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0</v>
      </c>
      <c r="M298" s="58">
        <f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0</v>
      </c>
      <c r="N298" s="58">
        <f t="shared" ref="N298:N301" si="32">+IF(L298&gt;0,M298*100/L298,0)</f>
        <v>0</v>
      </c>
    </row>
    <row r="299" spans="1:14" ht="21.75" customHeight="1" x14ac:dyDescent="0.55000000000000004">
      <c r="A299" s="46"/>
      <c r="B299" s="47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ca="1">กระบี่!L299+ชุมพร!L299+ตรัง!L299+นครศรีธรรมราช!L299+นราธิวาส!L299+ปัตตานี!L299+พังงา!L299+พัทลุง!L299+ภูเก็ต!L299+ยะลา!L299+ระนอง!L299+สงขลา!L299+สตูล!L299+สุราษฎร์ธานี!L299</f>
        <v>1883810</v>
      </c>
      <c r="M299" s="58">
        <f>กระบี่!M299+ชุมพร!M299+ตรัง!M299+นครศรีธรรมราช!M299+นราธิวาส!M299+ปัตตานี!M299+พังงา!M299+พัทลุง!M299+ภูเก็ต!M299+ยะลา!M299+ระนอง!M299+สงขลา!M299+สตูล!M299+สุราษฎร์ธานี!M299</f>
        <v>26360</v>
      </c>
      <c r="N299" s="58">
        <f t="shared" ca="1" si="32"/>
        <v>1.3992918606441203</v>
      </c>
    </row>
    <row r="300" spans="1:14" ht="21.75" customHeight="1" x14ac:dyDescent="0.55000000000000004">
      <c r="A300" s="46"/>
      <c r="B300" s="47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กระบี่!L300+ชุมพร!L300+ตรัง!L300+นครศรีธรรมราช!L300+นราธิวาส!L300+ปัตตานี!L300+พังงา!L300+พัทลุง!L300+ภูเก็ต!L300+ยะลา!L300+ระนอง!L300+สงขลา!L300+สตูล!L300+สุราษฎร์ธานี!L300</f>
        <v>0</v>
      </c>
      <c r="M300" s="58">
        <f>กระบี่!M300+ชุมพร!M300+ตรัง!M300+นครศรีธรรมราช!M300+นราธิวาส!M300+ปัตตานี!M300+พังงา!M300+พัทลุง!M300+ภูเก็ต!M300+ยะลา!M300+ระนอง!M300+สงขลา!M300+สตูล!M300+สุราษฎร์ธานี!M300</f>
        <v>0</v>
      </c>
      <c r="N300" s="58">
        <f t="shared" ca="1" si="32"/>
        <v>0</v>
      </c>
    </row>
    <row r="301" spans="1:14" ht="21.75" customHeight="1" x14ac:dyDescent="0.55000000000000004">
      <c r="A301" s="46"/>
      <c r="B301" s="47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กระบี่!L301+ชุมพร!L301+ตรัง!L301+นครศรีธรรมราช!L301+นราธิวาส!L301+ปัตตานี!L301+พังงา!L301+พัทลุง!L301+ภูเก็ต!L301+ยะลา!L301+ระนอง!L301+สงขลา!L301+สตูล!L301+สุราษฎร์ธานี!L301</f>
        <v>1883810</v>
      </c>
      <c r="M301" s="58">
        <f>กระบี่!M301+ชุมพร!M301+ตรัง!M301+นครศรีธรรมราช!M301+นราธิวาส!M301+ปัตตานี!M301+พังงา!M301+พัทลุง!M301+ภูเก็ต!M301+ยะลา!M301+ระนอง!M301+สงขลา!M301+สตูล!M301+สุราษฎร์ธานี!M301</f>
        <v>26360</v>
      </c>
      <c r="N301" s="58">
        <f t="shared" ca="1" si="32"/>
        <v>1.3992918606441203</v>
      </c>
    </row>
    <row r="302" spans="1:14" ht="21.75" customHeight="1" x14ac:dyDescent="0.55000000000000004">
      <c r="A302" s="247"/>
      <c r="B302" s="248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f>กระบี่!M302+ชุมพร!M302+ตรัง!M302+นครศรีธรรมราช!M302+นราธิวาส!M302+ปัตตานี!M302+พังงา!M302+พัทลุง!M302+ภูเก็ต!M302+ยะลา!M302+ระนอง!M302+สงขลา!M302+สตูล!M302+สุราษฎร์ธานี!M302</f>
        <v>11890</v>
      </c>
      <c r="N302" s="58"/>
    </row>
    <row r="303" spans="1:14" ht="21.75" customHeight="1" x14ac:dyDescent="0.55000000000000004">
      <c r="A303" s="247"/>
      <c r="B303" s="248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f>กระบี่!M303+ชุมพร!M303+ตรัง!M303+นครศรีธรรมราช!M303+นราธิวาส!M303+ปัตตานี!M303+พังงา!M303+พัทลุง!M303+ภูเก็ต!M303+ยะลา!M303+ระนอง!M303+สงขลา!M303+สตูล!M303+สุราษฎร์ธานี!M303</f>
        <v>0</v>
      </c>
      <c r="N303" s="58"/>
    </row>
    <row r="304" spans="1:14" ht="21.75" customHeight="1" x14ac:dyDescent="0.55000000000000004">
      <c r="A304" s="247"/>
      <c r="B304" s="248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f>กระบี่!M304+ชุมพร!M304+ตรัง!M304+นครศรีธรรมราช!M304+นราธิวาส!M304+ปัตตานี!M304+พังงา!M304+พัทลุง!M304+ภูเก็ต!M304+ยะลา!M304+ระนอง!M304+สงขลา!M304+สตูล!M304+สุราษฎร์ธานี!M304</f>
        <v>0</v>
      </c>
      <c r="N304" s="58"/>
    </row>
    <row r="305" spans="1:14" ht="21.75" customHeight="1" x14ac:dyDescent="0.55000000000000004">
      <c r="A305" s="247"/>
      <c r="B305" s="248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f>กระบี่!M305+ชุมพร!M305+ตรัง!M305+นครศรีธรรมราช!M305+นราธิวาส!M305+ปัตตานี!M305+พังงา!M305+พัทลุง!M305+ภูเก็ต!M305+ยะลา!M305+ระนอง!M305+สงขลา!M305+สตูล!M305+สุราษฎร์ธานี!M305</f>
        <v>14470</v>
      </c>
      <c r="N305" s="58"/>
    </row>
    <row r="306" spans="1:14" ht="21.75" customHeight="1" x14ac:dyDescent="0.55000000000000004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1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f>กระบี่!J307+ชุมพร!J307+ตรัง!J307+นครศรีธรรมราช!J307+นราธิวาส!J307+ปัตตานี!J307+พังงา!J307+พัทลุง!J307+ภูเก็ต!J307+ยะลา!J307+ระนอง!J307+สงขลา!J307+สตูล!J307+สุราษฎร์ธานี!J307</f>
        <v>1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1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f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13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1"/>
      <c r="C309" s="67"/>
      <c r="D309" s="61"/>
      <c r="E309" s="79" t="s">
        <v>28</v>
      </c>
      <c r="F309" s="80"/>
      <c r="G309" s="81"/>
      <c r="H309" s="72"/>
      <c r="I309" s="73"/>
      <c r="J309" s="74">
        <f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10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1"/>
      <c r="C310" s="67"/>
      <c r="D310" s="61"/>
      <c r="E310" s="79" t="s">
        <v>29</v>
      </c>
      <c r="F310" s="80"/>
      <c r="G310" s="81"/>
      <c r="H310" s="72"/>
      <c r="I310" s="73"/>
      <c r="J310" s="74">
        <f>กระบี่!J310+ชุมพร!J310+ตรัง!J310+นครศรีธรรมราช!J310+นราธิวาส!J310+ปัตตานี!J310+พังงา!J310+พัทลุง!J310+ภูเก็ต!J310+ยะลา!J310+ระนอง!J310+สงขลา!J310+สตูล!J310+สุราษฎร์ธานี!J310</f>
        <v>9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1"/>
      <c r="C311" s="67"/>
      <c r="D311" s="61"/>
      <c r="E311" s="82"/>
      <c r="F311" s="79" t="s">
        <v>50</v>
      </c>
      <c r="G311" s="258"/>
      <c r="H311" s="259" t="s">
        <v>16</v>
      </c>
      <c r="I311" s="84">
        <f ca="1">กระบี่!I311+ชุมพร!I311+ตรัง!I311+นครศรีธรรมราช!I311+นราธิวาส!I311+ปัตตานี!I311+พังงา!I311+พัทลุง!I311+ภูเก็ต!I311+ยะลา!I311+ระนอง!I311+สงขลา!I311+สตูล!I311+สุราษฎร์ธานี!I311</f>
        <v>540</v>
      </c>
      <c r="J311" s="84">
        <f ca="1">กระบี่!J311+ชุมพร!J311+ตรัง!J311+นครศรีธรรมราช!J311+นราธิวาส!J311+ปัตตานี!J311+พังงา!J311+พัทลุง!J311+ภูเก็ต!J311+ยะลา!J311+ระนอง!J311+สงขลา!J311+สตูล!J311+สุราษฎร์ธานี!J311</f>
        <v>30</v>
      </c>
      <c r="K311" s="85">
        <f t="shared" ref="K311:K327" ca="1" si="33">IF(I311&gt;0,J311*100/I311,0)</f>
        <v>5.5555555555555554</v>
      </c>
      <c r="L311" s="66"/>
      <c r="M311" s="66"/>
      <c r="N311" s="66"/>
    </row>
    <row r="312" spans="1:14" ht="21.75" customHeight="1" x14ac:dyDescent="0.55000000000000004">
      <c r="A312" s="60"/>
      <c r="B312" s="61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กระบี่!I312+ชุมพร!I312+ตรัง!I312+นครศรีธรรมราช!I312+นราธิวาส!I312+ปัตตานี!I312+พังงา!I312+พัทลุง!I312+ภูเก็ต!I312+ยะลา!I312+ระนอง!I312+สงขลา!I312+สตูล!I312+สุราษฎร์ธานี!I312</f>
        <v>135</v>
      </c>
      <c r="J312" s="164">
        <f ca="1">กระบี่!J312+ชุมพร!J312+ตรัง!J312+นครศรีธรรมราช!J312+นราธิวาส!J312+ปัตตานี!J312+พังงา!J312+พัทลุง!J312+ภูเก็ต!J312+ยะลา!J312+ระนอง!J312+สงขลา!J312+สตูล!J312+สุราษฎร์ธานี!J312</f>
        <v>0</v>
      </c>
      <c r="K312" s="85">
        <f t="shared" ca="1" si="33"/>
        <v>0</v>
      </c>
      <c r="L312" s="66"/>
      <c r="M312" s="66"/>
      <c r="N312" s="66"/>
    </row>
    <row r="313" spans="1:14" ht="21.75" customHeight="1" x14ac:dyDescent="0.55000000000000004">
      <c r="A313" s="60"/>
      <c r="B313" s="61"/>
      <c r="C313" s="67"/>
      <c r="D313" s="61"/>
      <c r="E313" s="82"/>
      <c r="F313" s="80"/>
      <c r="G313" s="81"/>
      <c r="H313" s="83" t="s">
        <v>103</v>
      </c>
      <c r="I313" s="261">
        <f ca="1">กระบี่!I313+ชุมพร!I313+ตรัง!I313+นครศรีธรรมราช!I313+นราธิวาส!I313+ปัตตานี!I313+พังงา!I313+พัทลุง!I313+ภูเก็ต!I313+ยะลา!I313+ระนอง!I313+สงขลา!I313+สตูล!I313+สุราษฎร์ธานี!I313</f>
        <v>405</v>
      </c>
      <c r="J313" s="164">
        <f>กระบี่!J313+ชุมพร!J313+ตรัง!J313+นครศรีธรรมราช!J313+นราธิวาส!J313+ปัตตานี!J313+พังงา!J313+พัทลุง!J313+ภูเก็ต!J313+ยะลา!J313+ระนอง!J313+สงขลา!J313+สตูล!J313+สุราษฎร์ธานี!J313</f>
        <v>0</v>
      </c>
      <c r="K313" s="85">
        <f t="shared" ca="1" si="33"/>
        <v>0</v>
      </c>
      <c r="L313" s="66"/>
      <c r="M313" s="66"/>
      <c r="N313" s="66"/>
    </row>
    <row r="314" spans="1:14" ht="21.75" customHeight="1" x14ac:dyDescent="0.55000000000000004">
      <c r="A314" s="60"/>
      <c r="B314" s="61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กระบี่!I314+ชุมพร!I314+ตรัง!I314+นครศรีธรรมราช!I314+นราธิวาส!I314+ปัตตานี!I314+พังงา!I314+พัทลุง!I314+ภูเก็ต!I314+ยะลา!I314+ระนอง!I314+สงขลา!I314+สตูล!I314+สุราษฎร์ธานี!I314</f>
        <v>135</v>
      </c>
      <c r="J314" s="74">
        <f>กระบี่!J314+ชุมพร!J314+ตรัง!J314+นครศรีธรรมราช!J314+นราธิวาส!J314+ปัตตานี!J314+พังงา!J314+พัทลุง!J314+ภูเก็ต!J314+ยะลา!J314+ระนอง!J314+สงขลา!J314+สตูล!J314+สุราษฎร์ธานี!J314</f>
        <v>0</v>
      </c>
      <c r="K314" s="54">
        <f t="shared" ca="1" si="33"/>
        <v>0</v>
      </c>
      <c r="L314" s="66"/>
      <c r="M314" s="66"/>
      <c r="N314" s="66"/>
    </row>
    <row r="315" spans="1:14" ht="21.75" customHeight="1" x14ac:dyDescent="0.55000000000000004">
      <c r="A315" s="112"/>
      <c r="B315" s="113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กระบี่!I315+ชุมพร!I315+ตรัง!I315+นครศรีธรรมราช!I315+นราธิวาส!I315+ปัตตานี!I315+พังงา!I315+พัทลุง!I315+ภูเก็ต!I315+ยะลา!I315+ระนอง!I315+สงขลา!I315+สตูล!I315+สุราษฎร์ธานี!I315</f>
        <v>135</v>
      </c>
      <c r="J315" s="264">
        <f>กระบี่!J315+ชุมพร!J315+ตรัง!J315+นครศรีธรรมราช!J315+นราธิวาส!J315+ปัตตานี!J315+พังงา!J315+พัทลุง!J315+ภูเก็ต!J315+ยะลา!J315+ระนอง!J315+สงขลา!J315+สตูล!J315+สุราษฎร์ธานี!J315</f>
        <v>0</v>
      </c>
      <c r="K315" s="122">
        <f t="shared" ca="1" si="33"/>
        <v>0</v>
      </c>
      <c r="L315" s="123"/>
      <c r="M315" s="123"/>
      <c r="N315" s="123"/>
    </row>
    <row r="316" spans="1:14" ht="21.75" customHeight="1" x14ac:dyDescent="0.55000000000000004">
      <c r="A316" s="60"/>
      <c r="B316" s="61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กระบี่!I316+ชุมพร!I316+ตรัง!I316+นครศรีธรรมราช!I316+นราธิวาส!I316+ปัตตานี!I316+พังงา!I316+พัทลุง!I316+ภูเก็ต!I316+ยะลา!I316+ระนอง!I316+สงขลา!I316+สตูล!I316+สุราษฎร์ธานี!I316</f>
        <v>235</v>
      </c>
      <c r="J316" s="164">
        <f ca="1">กระบี่!J316+ชุมพร!J316+ตรัง!J316+นครศรีธรรมราช!J316+นราธิวาส!J316+ปัตตานี!J316+พังงา!J316+พัทลุง!J316+ภูเก็ต!J316+ยะลา!J316+ระนอง!J316+สงขลา!J316+สตูล!J316+สุราษฎร์ธานี!J316</f>
        <v>15</v>
      </c>
      <c r="K316" s="85">
        <f t="shared" ca="1" si="33"/>
        <v>6.3829787234042552</v>
      </c>
      <c r="L316" s="66"/>
      <c r="M316" s="66"/>
      <c r="N316" s="66"/>
    </row>
    <row r="317" spans="1:14" ht="21.75" customHeight="1" x14ac:dyDescent="0.55000000000000004">
      <c r="A317" s="60"/>
      <c r="B317" s="61"/>
      <c r="C317" s="67"/>
      <c r="D317" s="61"/>
      <c r="E317" s="82"/>
      <c r="F317" s="80"/>
      <c r="G317" s="81"/>
      <c r="H317" s="83" t="s">
        <v>103</v>
      </c>
      <c r="I317" s="261">
        <f ca="1">กระบี่!I317+ชุมพร!I317+ตรัง!I317+นครศรีธรรมราช!I317+นราธิวาส!I317+ปัตตานี!I317+พังงา!I317+พัทลุง!I317+ภูเก็ต!I317+ยะลา!I317+ระนอง!I317+สงขลา!I317+สตูล!I317+สุราษฎร์ธานี!I317</f>
        <v>705</v>
      </c>
      <c r="J317" s="164">
        <f>กระบี่!J317+ชุมพร!J317+ตรัง!J317+นครศรีธรรมราช!J317+นราธิวาส!J317+ปัตตานี!J317+พังงา!J317+พัทลุง!J317+ภูเก็ต!J317+ยะลา!J317+ระนอง!J317+สงขลา!J317+สตูล!J317+สุราษฎร์ธานี!J317</f>
        <v>45</v>
      </c>
      <c r="K317" s="85">
        <f t="shared" ca="1" si="33"/>
        <v>6.3829787234042552</v>
      </c>
      <c r="L317" s="66"/>
      <c r="M317" s="66"/>
      <c r="N317" s="66"/>
    </row>
    <row r="318" spans="1:14" ht="21.75" customHeight="1" x14ac:dyDescent="0.55000000000000004">
      <c r="A318" s="60"/>
      <c r="B318" s="61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กระบี่!I318+ชุมพร!I318+ตรัง!I318+นครศรีธรรมราช!I318+นราธิวาส!I318+ปัตตานี!I318+พังงา!I318+พัทลุง!I318+ภูเก็ต!I318+ยะลา!I318+ระนอง!I318+สงขลา!I318+สตูล!I318+สุราษฎร์ธานี!I318</f>
        <v>235</v>
      </c>
      <c r="J318" s="74">
        <f>กระบี่!J318+ชุมพร!J318+ตรัง!J318+นครศรีธรรมราช!J318+นราธิวาส!J318+ปัตตานี!J318+พังงา!J318+พัทลุง!J318+ภูเก็ต!J318+ยะลา!J318+ระนอง!J318+สงขลา!J318+สตูล!J318+สุราษฎร์ธานี!J318</f>
        <v>15</v>
      </c>
      <c r="K318" s="54">
        <f t="shared" ca="1" si="33"/>
        <v>6.3829787234042552</v>
      </c>
      <c r="L318" s="66"/>
      <c r="M318" s="66"/>
      <c r="N318" s="66"/>
    </row>
    <row r="319" spans="1:14" ht="21.75" customHeight="1" x14ac:dyDescent="0.55000000000000004">
      <c r="A319" s="60"/>
      <c r="B319" s="61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กระบี่!I319+ชุมพร!I319+ตรัง!I319+นครศรีธรรมราช!I319+นราธิวาส!I319+ปัตตานี!I319+พังงา!I319+พัทลุง!I319+ภูเก็ต!I319+ยะลา!I319+ระนอง!I319+สงขลา!I319+สตูล!I319+สุราษฎร์ธานี!I319</f>
        <v>235</v>
      </c>
      <c r="J319" s="74">
        <f>กระบี่!J319+ชุมพร!J319+ตรัง!J319+นครศรีธรรมราช!J319+นราธิวาส!J319+ปัตตานี!J319+พังงา!J319+พัทลุง!J319+ภูเก็ต!J319+ยะลา!J319+ระนอง!J319+สงขลา!J319+สตูล!J319+สุราษฎร์ธานี!J319</f>
        <v>15</v>
      </c>
      <c r="K319" s="54">
        <f t="shared" ca="1" si="33"/>
        <v>6.3829787234042552</v>
      </c>
      <c r="L319" s="66"/>
      <c r="M319" s="66"/>
      <c r="N319" s="66"/>
    </row>
    <row r="320" spans="1:14" ht="21.75" customHeight="1" x14ac:dyDescent="0.55000000000000004">
      <c r="A320" s="60"/>
      <c r="B320" s="61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กระบี่!I320+ชุมพร!I320+ตรัง!I320+นครศรีธรรมราช!I320+นราธิวาส!I320+ปัตตานี!I320+พังงา!I320+พัทลุง!I320+ภูเก็ต!I320+ยะลา!I320+ระนอง!I320+สงขลา!I320+สตูล!I320+สุราษฎร์ธานี!I320</f>
        <v>235</v>
      </c>
      <c r="J320" s="74">
        <f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15</v>
      </c>
      <c r="K320" s="54">
        <f t="shared" ca="1" si="33"/>
        <v>6.3829787234042552</v>
      </c>
      <c r="L320" s="66"/>
      <c r="M320" s="66"/>
      <c r="N320" s="66"/>
    </row>
    <row r="321" spans="1:14" ht="21.75" customHeight="1" x14ac:dyDescent="0.55000000000000004">
      <c r="A321" s="60"/>
      <c r="B321" s="61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กระบี่!I321+ชุมพร!I321+ตรัง!I321+นครศรีธรรมราช!I321+นราธิวาส!I321+ปัตตานี!I321+พังงา!I321+พัทลุง!I321+ภูเก็ต!I321+ยะลา!I321+ระนอง!I321+สงขลา!I321+สตูล!I321+สุราษฎร์ธานี!I321</f>
        <v>170</v>
      </c>
      <c r="J321" s="16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15</v>
      </c>
      <c r="K321" s="85">
        <f t="shared" ca="1" si="33"/>
        <v>8.8235294117647065</v>
      </c>
      <c r="L321" s="66"/>
      <c r="M321" s="66"/>
      <c r="N321" s="66"/>
    </row>
    <row r="322" spans="1:14" ht="21.75" customHeight="1" x14ac:dyDescent="0.55000000000000004">
      <c r="A322" s="60"/>
      <c r="B322" s="61"/>
      <c r="C322" s="67"/>
      <c r="D322" s="61"/>
      <c r="E322" s="82"/>
      <c r="F322" s="80"/>
      <c r="G322" s="81"/>
      <c r="H322" s="83" t="s">
        <v>103</v>
      </c>
      <c r="I322" s="261">
        <f ca="1">กระบี่!I322+ชุมพร!I322+ตรัง!I322+นครศรีธรรมราช!I322+นราธิวาส!I322+ปัตตานี!I322+พังงา!I322+พัทลุง!I322+ภูเก็ต!I322+ยะลา!I322+ระนอง!I322+สงขลา!I322+สตูล!I322+สุราษฎร์ธานี!I322</f>
        <v>510</v>
      </c>
      <c r="J322" s="164">
        <f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0</v>
      </c>
      <c r="K322" s="85">
        <f t="shared" ca="1" si="33"/>
        <v>0</v>
      </c>
      <c r="L322" s="66"/>
      <c r="M322" s="66"/>
      <c r="N322" s="66"/>
    </row>
    <row r="323" spans="1:14" ht="21.75" customHeight="1" x14ac:dyDescent="0.55000000000000004">
      <c r="A323" s="60"/>
      <c r="B323" s="61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กระบี่!I323+ชุมพร!I323+ตรัง!I323+นครศรีธรรมราช!I323+นราธิวาส!I323+ปัตตานี!I323+พังงา!I323+พัทลุง!I323+ภูเก็ต!I323+ยะลา!I323+ระนอง!I323+สงขลา!I323+สตูล!I323+สุราษฎร์ธานี!I323</f>
        <v>170</v>
      </c>
      <c r="J323" s="74">
        <f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15</v>
      </c>
      <c r="K323" s="54">
        <f t="shared" ca="1" si="33"/>
        <v>8.8235294117647065</v>
      </c>
      <c r="L323" s="66"/>
      <c r="M323" s="66"/>
      <c r="N323" s="66"/>
    </row>
    <row r="324" spans="1:14" ht="21.75" customHeight="1" x14ac:dyDescent="0.55000000000000004">
      <c r="A324" s="60"/>
      <c r="B324" s="61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170</v>
      </c>
      <c r="J324" s="74">
        <f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15</v>
      </c>
      <c r="K324" s="54">
        <f t="shared" ca="1" si="33"/>
        <v>8.8235294117647065</v>
      </c>
      <c r="L324" s="66"/>
      <c r="M324" s="66"/>
      <c r="N324" s="66"/>
    </row>
    <row r="325" spans="1:14" ht="21.75" customHeight="1" x14ac:dyDescent="0.55000000000000004">
      <c r="A325" s="60"/>
      <c r="B325" s="61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กระบี่!I325+ชุมพร!I325+ตรัง!I325+นครศรีธรรมราช!I325+นราธิวาส!I325+ปัตตานี!I325+พังงา!I325+พัทลุง!I325+ภูเก็ต!I325+ยะลา!I325+ระนอง!I325+สงขลา!I325+สตูล!I325+สุราษฎร์ธานี!I325</f>
        <v>370</v>
      </c>
      <c r="J325" s="8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85">
        <f t="shared" ca="1" si="33"/>
        <v>0</v>
      </c>
      <c r="L325" s="66"/>
      <c r="M325" s="66"/>
      <c r="N325" s="66"/>
    </row>
    <row r="326" spans="1:14" ht="21.75" customHeight="1" x14ac:dyDescent="0.55000000000000004">
      <c r="A326" s="266"/>
      <c r="B326" s="267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กระบี่!I326+ชุมพร!I326+ตรัง!I326+นครศรีธรรมราช!I326+นราธิวาส!I326+ปัตตานี!I326+พังงา!I326+พัทลุง!I326+ภูเก็ต!I326+ยะลา!I326+ระนอง!I326+สงขลา!I326+สตูล!I326+สุราษฎร์ธานี!I326</f>
        <v>135</v>
      </c>
      <c r="J326" s="74">
        <f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54">
        <f t="shared" ca="1" si="33"/>
        <v>0</v>
      </c>
      <c r="L326" s="66"/>
      <c r="M326" s="66"/>
      <c r="N326" s="66"/>
    </row>
    <row r="327" spans="1:14" ht="21.75" customHeight="1" x14ac:dyDescent="0.55000000000000004">
      <c r="A327" s="266"/>
      <c r="B327" s="267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กระบี่!I327+ชุมพร!I327+ตรัง!I327+นครศรีธรรมราช!I327+นราธิวาส!I327+ปัตตานี!I327+พังงา!I327+พัทลุง!I327+ภูเก็ต!I327+ยะลา!I327+ระนอง!I327+สงขลา!I327+สตูล!I327+สุราษฎร์ธานี!I327</f>
        <v>235</v>
      </c>
      <c r="J327" s="74">
        <f>กระบี่!J327+ชุมพร!J327+ตรัง!J327+นครศรีธรรมราช!J327+นราธิวาส!J327+ปัตตานี!J327+พังงา!J327+พัทลุง!J327+ภูเก็ต!J327+ยะลา!J327+ระนอง!J327+สงขลา!J327+สตูล!J327+สุราษฎร์ธานี!J327</f>
        <v>0</v>
      </c>
      <c r="K327" s="54">
        <f t="shared" ca="1" si="33"/>
        <v>0</v>
      </c>
      <c r="L327" s="66"/>
      <c r="M327" s="66"/>
      <c r="N327" s="66"/>
    </row>
    <row r="328" spans="1:14" ht="21.75" customHeight="1" x14ac:dyDescent="0.55000000000000004">
      <c r="A328" s="60"/>
      <c r="B328" s="61"/>
      <c r="C328" s="67"/>
      <c r="D328" s="61"/>
      <c r="E328" s="79" t="s">
        <v>35</v>
      </c>
      <c r="F328" s="80"/>
      <c r="G328" s="81"/>
      <c r="H328" s="72"/>
      <c r="I328" s="73"/>
      <c r="J328" s="74">
        <f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1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f>กระบี่!J329+ชุมพร!J329+ตรัง!J329+นครศรีธรรมราช!J329+นราธิวาส!J329+ปัตตานี!J329+พังงา!J329+พัทลุง!J329+ภูเก็ต!J329+ยะลา!J329+ระนอง!J329+สงขลา!J329+สตูล!J329+สุราษฎร์ธานี!J329</f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0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กระบี่!I330+ชุมพร!I330+ตรัง!I330+นครศรีธรรมราช!I330+นราธิวาส!I330+ปัตตานี!I330+พังงา!I330+พัทลุง!I330+ภูเก็ต!I330+ยะลา!I330+ระนอง!I330+สงขลา!I330+สตูล!I330+สุราษฎร์ธานี!I330</f>
        <v>235</v>
      </c>
      <c r="J330" s="275">
        <f>กระบี่!J330+ชุมพร!J330+ตรัง!J330+นครศรีธรรมราช!J330+นราธิวาส!J330+ปัตตานี!J330+พังงา!J330+พัทลุง!J330+ภูเก็ต!J330+ยะลา!J330+ระนอง!J330+สงขลา!J330+สตูล!J330+สุราษฎร์ธานี!J330</f>
        <v>50</v>
      </c>
      <c r="K330" s="276">
        <f ca="1">IF(I330&gt;0,J330*100/I330,0)</f>
        <v>21.276595744680851</v>
      </c>
      <c r="L330" s="277">
        <f ca="1"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1204500</v>
      </c>
      <c r="M330" s="277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77305</v>
      </c>
      <c r="N330" s="277">
        <f t="shared" ref="N330:N334" ca="1" si="34">+IF(L330&gt;0,M330*100/L330,0)</f>
        <v>6.4180157741801578</v>
      </c>
    </row>
    <row r="331" spans="1:14" ht="21.75" customHeight="1" x14ac:dyDescent="0.55000000000000004">
      <c r="A331" s="46"/>
      <c r="B331" s="47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f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0</v>
      </c>
      <c r="M331" s="58">
        <f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0</v>
      </c>
      <c r="N331" s="58">
        <f t="shared" si="34"/>
        <v>0</v>
      </c>
    </row>
    <row r="332" spans="1:14" ht="21.75" customHeight="1" x14ac:dyDescent="0.55000000000000004">
      <c r="A332" s="46"/>
      <c r="B332" s="47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ca="1"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1204500</v>
      </c>
      <c r="M332" s="5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77305</v>
      </c>
      <c r="N332" s="58">
        <f t="shared" ca="1" si="34"/>
        <v>6.4180157741801578</v>
      </c>
    </row>
    <row r="333" spans="1:14" ht="21.75" customHeight="1" x14ac:dyDescent="0.55000000000000004">
      <c r="A333" s="46"/>
      <c r="B333" s="47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0</v>
      </c>
      <c r="M333" s="58">
        <f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0</v>
      </c>
      <c r="N333" s="58">
        <f t="shared" ca="1" si="34"/>
        <v>0</v>
      </c>
    </row>
    <row r="334" spans="1:14" ht="21.75" customHeight="1" x14ac:dyDescent="0.55000000000000004">
      <c r="A334" s="46"/>
      <c r="B334" s="47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1204500</v>
      </c>
      <c r="M334" s="58">
        <f>กระบี่!M334+ชุมพร!M334+ตรัง!M334+นครศรีธรรมราช!M334+นราธิวาส!M334+ปัตตานี!M334+พังงา!M334+พัทลุง!M334+ภูเก็ต!M334+ยะลา!M334+ระนอง!M334+สงขลา!M334+สตูล!M334+สุราษฎร์ธานี!M334</f>
        <v>77305</v>
      </c>
      <c r="N334" s="58">
        <f t="shared" ca="1" si="34"/>
        <v>6.4180157741801578</v>
      </c>
    </row>
    <row r="335" spans="1:14" ht="21.75" customHeight="1" x14ac:dyDescent="0.55000000000000004">
      <c r="A335" s="247"/>
      <c r="B335" s="248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f>กระบี่!M335+ชุมพร!M334+ตรัง!M335+นครศรีธรรมราช!M335+นราธิวาส!M335+ปัตตานี!M335+พังงา!M335+พัทลุง!M335+ภูเก็ต!M335+ยะลา!M335+ระนอง!M335+สงขลา!M335+สตูล!M335+สุราษฎร์ธานี!M335</f>
        <v>49505</v>
      </c>
      <c r="N335" s="58"/>
    </row>
    <row r="336" spans="1:14" ht="21.75" customHeight="1" x14ac:dyDescent="0.55000000000000004">
      <c r="A336" s="247"/>
      <c r="B336" s="248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f>กระบี่!M336+ชุมพร!M335+ตรัง!M336+นครศรีธรรมราช!M336+นราธิวาส!M336+ปัตตานี!M336+พังงา!M336+พัทลุง!M336+ภูเก็ต!M336+ยะลา!M336+ระนอง!M336+สงขลา!M336+สตูล!M336+สุราษฎร์ธานี!M336</f>
        <v>8000</v>
      </c>
      <c r="N336" s="58"/>
    </row>
    <row r="337" spans="1:14" ht="21.75" customHeight="1" x14ac:dyDescent="0.55000000000000004">
      <c r="A337" s="247"/>
      <c r="B337" s="248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f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0</v>
      </c>
      <c r="N337" s="58"/>
    </row>
    <row r="338" spans="1:14" ht="21.75" customHeight="1" x14ac:dyDescent="0.55000000000000004">
      <c r="A338" s="247"/>
      <c r="B338" s="248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f>กระบี่!M338+ชุมพร!M338+ตรัง!M338+นครศรีธรรมราช!M338+นราธิวาส!M338+ปัตตานี!M338+พังงา!M338+พัทลุง!M338+ภูเก็ต!M338+ยะลา!M338+ระนอง!M338+สงขลา!M338+สตูล!M338+สุราษฎร์ธานี!M338</f>
        <v>19800</v>
      </c>
      <c r="N338" s="58"/>
    </row>
    <row r="339" spans="1:14" ht="21.75" customHeight="1" x14ac:dyDescent="0.55000000000000004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1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f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1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f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12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1"/>
      <c r="C342" s="67"/>
      <c r="D342" s="61"/>
      <c r="E342" s="79" t="s">
        <v>142</v>
      </c>
      <c r="F342" s="80"/>
      <c r="G342" s="81"/>
      <c r="H342" s="72"/>
      <c r="I342" s="73"/>
      <c r="J342" s="74">
        <f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9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1"/>
      <c r="C343" s="67"/>
      <c r="D343" s="61"/>
      <c r="E343" s="79" t="s">
        <v>29</v>
      </c>
      <c r="F343" s="80"/>
      <c r="G343" s="81"/>
      <c r="H343" s="72"/>
      <c r="I343" s="73"/>
      <c r="J343" s="74">
        <f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1"/>
      <c r="C344" s="67"/>
      <c r="D344" s="61"/>
      <c r="E344" s="82"/>
      <c r="F344" s="278" t="s">
        <v>82</v>
      </c>
      <c r="G344" s="81"/>
      <c r="H344" s="72" t="s">
        <v>16</v>
      </c>
      <c r="I344" s="26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235</v>
      </c>
      <c r="J344" s="84">
        <f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50</v>
      </c>
      <c r="K344" s="54">
        <f t="shared" ref="K344:K347" ca="1" si="35">IF(I344&gt;0,J344*100/I344,0)</f>
        <v>21.276595744680851</v>
      </c>
      <c r="L344" s="66"/>
      <c r="M344" s="66"/>
      <c r="N344" s="66"/>
    </row>
    <row r="345" spans="1:14" ht="21.75" customHeight="1" x14ac:dyDescent="0.55000000000000004">
      <c r="A345" s="60"/>
      <c r="B345" s="61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195</v>
      </c>
      <c r="J345" s="74">
        <f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50</v>
      </c>
      <c r="K345" s="54">
        <f t="shared" ca="1" si="35"/>
        <v>25.641025641025642</v>
      </c>
      <c r="L345" s="66"/>
      <c r="M345" s="66"/>
      <c r="N345" s="66"/>
    </row>
    <row r="346" spans="1:14" ht="21.75" customHeight="1" x14ac:dyDescent="0.55000000000000004">
      <c r="A346" s="60"/>
      <c r="B346" s="61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40</v>
      </c>
      <c r="J346" s="74">
        <f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0</v>
      </c>
      <c r="K346" s="54">
        <f t="shared" ca="1" si="35"/>
        <v>0</v>
      </c>
      <c r="L346" s="66"/>
      <c r="M346" s="66"/>
      <c r="N346" s="66"/>
    </row>
    <row r="347" spans="1:14" ht="21.75" customHeight="1" x14ac:dyDescent="0.55000000000000004">
      <c r="A347" s="60"/>
      <c r="B347" s="61"/>
      <c r="C347" s="67"/>
      <c r="D347" s="61"/>
      <c r="E347" s="82"/>
      <c r="F347" s="80"/>
      <c r="G347" s="81" t="s">
        <v>145</v>
      </c>
      <c r="H347" s="72" t="s">
        <v>16</v>
      </c>
      <c r="I347" s="73">
        <f ca="1">กระบี่!I347+ชุมพร!I347+ตรัง!I347+นครศรีธรรมราช!I347+นราธิวาส!I347+ปัตตานี!I347+พังงา!I347+พัทลุง!I347+ภูเก็ต!I347+ยะลา!I347+ระนอง!I347+สงขลา!I347+สตูล!I347+สุราษฎร์ธานี!I347</f>
        <v>0</v>
      </c>
      <c r="J347" s="74">
        <f>กระบี่!J347+ชุมพร!J347+ตรัง!J347+นครศรีธรรมราช!J347+นราธิวาส!J347+ปัตตานี!J347+พังงา!J347+พัทลุง!J347+ภูเก็ต!J347+ยะลา!J347+ระนอง!J347+สงขลา!J347+สตูล!J347+สุราษฎร์ธานี!J347</f>
        <v>0</v>
      </c>
      <c r="K347" s="54">
        <f t="shared" ca="1" si="35"/>
        <v>0</v>
      </c>
      <c r="L347" s="66"/>
      <c r="M347" s="66"/>
      <c r="N347" s="66"/>
    </row>
    <row r="348" spans="1:14" ht="21.75" customHeight="1" x14ac:dyDescent="0.55000000000000004">
      <c r="A348" s="60"/>
      <c r="B348" s="61"/>
      <c r="C348" s="67"/>
      <c r="D348" s="61"/>
      <c r="E348" s="79" t="s">
        <v>35</v>
      </c>
      <c r="F348" s="80"/>
      <c r="G348" s="81"/>
      <c r="H348" s="72"/>
      <c r="I348" s="73"/>
      <c r="J348" s="74">
        <f>กระบี่!J348+ชุมพร!J348+ตรัง!J348+นครศรีธรรมราช!J348+นราธิวาส!J348+ปัตตานี!J348+พังงา!J348+พัทลุง!J348+ภูเก็ต!J348+ยะลา!J348+ระนอง!J348+สงขลา!J348+สตูล!J348+สุราษฎร์ธานี!J348</f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1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f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40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489792</v>
      </c>
      <c r="J350" s="244">
        <f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0</v>
      </c>
      <c r="K350" s="245">
        <f ca="1">IF(I350&gt;0,J350*100/I350,0)</f>
        <v>0</v>
      </c>
      <c r="L350" s="246">
        <f ca="1">กระบี่!L350+ชุมพร!L350+ตรัง!L350+นครศรีธรรมราช!L350+นราธิวาส!L350+ปัตตานี!L350+พังงา!L350+พัทลุง!L350+ภูเก็ต!L350+ยะลา!L350+ระนอง!L350+สงขลา!L350+สตูล!L350+สุราษฎร์ธานี!L350</f>
        <v>4025062</v>
      </c>
      <c r="M350" s="246">
        <f>กระบี่!M350+ชุมพร!M350+ตรัง!M350+นครศรีธรรมราช!M350+นราธิวาส!M350+ปัตตานี!M350+พังงา!M350+พัทลุง!M350+ภูเก็ต!M350+ยะลา!M350+ระนอง!M350+สงขลา!M350+สตูล!M350+สุราษฎร์ธานี!M350</f>
        <v>68887.23</v>
      </c>
      <c r="N350" s="246">
        <f t="shared" ref="N350:N354" ca="1" si="36">+IF(L350&gt;0,M350*100/L350,0)</f>
        <v>1.7114576123299468</v>
      </c>
    </row>
    <row r="351" spans="1:14" ht="21.75" customHeight="1" x14ac:dyDescent="0.55000000000000004">
      <c r="A351" s="46"/>
      <c r="B351" s="47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f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58">
        <f>กระบี่!M351+ชุมพร!M351+ตรัง!M351+นครศรีธรรมราช!M351+นราธิวาส!M351+ปัตตานี!M351+พังงา!M351+พัทลุง!M351+ภูเก็ต!M351+ยะลา!M351+ระนอง!M351+สงขลา!M351+สตูล!M351+สุราษฎร์ธานี!M351</f>
        <v>0</v>
      </c>
      <c r="N351" s="58">
        <f t="shared" si="36"/>
        <v>0</v>
      </c>
    </row>
    <row r="352" spans="1:14" ht="21.75" customHeight="1" x14ac:dyDescent="0.55000000000000004">
      <c r="A352" s="46"/>
      <c r="B352" s="47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4025062</v>
      </c>
      <c r="M352" s="58">
        <f>กระบี่!M352+ชุมพร!M352+ตรัง!M352+นครศรีธรรมราช!M352+นราธิวาส!M352+ปัตตานี!M352+พังงา!M352+พัทลุง!M352+ภูเก็ต!M352+ยะลา!M352+ระนอง!M352+สงขลา!M352+สตูล!M352+สุราษฎร์ธานี!M352</f>
        <v>68887.23</v>
      </c>
      <c r="N352" s="58">
        <f t="shared" ca="1" si="36"/>
        <v>1.7114576123299468</v>
      </c>
    </row>
    <row r="353" spans="1:14" ht="21.75" customHeight="1" x14ac:dyDescent="0.55000000000000004">
      <c r="A353" s="46"/>
      <c r="B353" s="47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58">
        <f>กระบี่!M353+ชุมพร!M353+ตรัง!M353+นครศรีธรรมราช!M353+นราธิวาส!M353+ปัตตานี!M353+พังงา!M353+พัทลุง!M353+ภูเก็ต!M353+ยะลา!M353+ระนอง!M353+สงขลา!M353+สตูล!M353+สุราษฎร์ธานี!M353</f>
        <v>0</v>
      </c>
      <c r="N353" s="58">
        <f t="shared" ca="1" si="36"/>
        <v>0</v>
      </c>
    </row>
    <row r="354" spans="1:14" ht="21.75" customHeight="1" x14ac:dyDescent="0.55000000000000004">
      <c r="A354" s="46"/>
      <c r="B354" s="47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4025062</v>
      </c>
      <c r="M354" s="58">
        <f>กระบี่!M354+ชุมพร!M354+ตรัง!M354+นครศรีธรรมราช!M354+นราธิวาส!M354+ปัตตานี!M354+พังงา!M354+พัทลุง!M354+ภูเก็ต!M354+ยะลา!M354+ระนอง!M354+สงขลา!M354+สตูล!M354+สุราษฎร์ธานี!M354</f>
        <v>68887.23</v>
      </c>
      <c r="N354" s="58">
        <f t="shared" ca="1" si="36"/>
        <v>1.7114576123299468</v>
      </c>
    </row>
    <row r="355" spans="1:14" ht="21.75" customHeight="1" x14ac:dyDescent="0.55000000000000004">
      <c r="A355" s="247"/>
      <c r="B355" s="248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f>กระบี่!M355+ชุมพร!M355+ตรัง!M355+นครศรีธรรมราช!M355+นราธิวาส!M355+ปัตตานี!M355+พังงา!M355+พัทลุง!M355+ภูเก็ต!M355+ยะลา!M355+ระนอง!M355+สงขลา!M355+สตูล!M355+สุราษฎร์ธานี!M355</f>
        <v>0</v>
      </c>
      <c r="N355" s="58"/>
    </row>
    <row r="356" spans="1:14" ht="21.75" customHeight="1" x14ac:dyDescent="0.55000000000000004">
      <c r="A356" s="247"/>
      <c r="B356" s="248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f>กระบี่!M356+ชุมพร!M356+ตรัง!M356+นครศรีธรรมราช!M356+นราธิวาส!M356+ปัตตานี!M356+พังงา!M356+พัทลุง!M356+ภูเก็ต!M356+ยะลา!M356+ระนอง!M356+สงขลา!M356+สตูล!M356+สุราษฎร์ธานี!M356</f>
        <v>0</v>
      </c>
      <c r="N356" s="58"/>
    </row>
    <row r="357" spans="1:14" ht="21.75" customHeight="1" x14ac:dyDescent="0.55000000000000004">
      <c r="A357" s="247"/>
      <c r="B357" s="248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f>กระบี่!M357+ชุมพร!M357+ตรัง!M357+นครศรีธรรมราช!M357+นราธิวาส!M357+ปัตตานี!M357+พังงา!M357+พัทลุง!M357+ภูเก็ต!M357+ยะลา!M357+ระนอง!M357+สงขลา!M357+สตูล!M357+สุราษฎร์ธานี!M357</f>
        <v>49187.229999999996</v>
      </c>
      <c r="N357" s="58"/>
    </row>
    <row r="358" spans="1:14" ht="21.75" customHeight="1" x14ac:dyDescent="0.55000000000000004">
      <c r="A358" s="247"/>
      <c r="B358" s="248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f>กระบี่!M358+ชุมพร!M358+ตรัง!M358+นครศรีธรรมราช!M358+นราธิวาส!M358+ปัตตานี!M358+พังงา!M358+พัทลุง!M358+ภูเก็ต!M358+ยะลา!M358+ระนอง!M358+สงขลา!M358+สตูล!M358+สุราษฎร์ธานี!M358</f>
        <v>19700</v>
      </c>
      <c r="N358" s="58"/>
    </row>
    <row r="359" spans="1:14" ht="21.75" customHeight="1" x14ac:dyDescent="0.55000000000000004">
      <c r="A359" s="60"/>
      <c r="B359" s="61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กระบี่!I359+ชุมพร!I359+ตรัง!I359+นครศรีธรรมราช!I359+นราธิวาส!I359+ปัตตานี!I359+พังงา!I359+พัทลุง!I359+ภูเก็ต!I359+ยะลา!I359+ระนอง!I359+สงขลา!I359+สตูล!I359+สุราษฎร์ธานี!I359</f>
        <v>489792</v>
      </c>
      <c r="J359" s="148">
        <f>กระบี่!J359+ชุมพร!J359+ตรัง!J359+นครศรีธรรมราช!J359+นราธิวาส!J359+ปัตตานี!J359+พังงา!J359+พัทลุง!J359+ภูเก็ต!J359+ยะลา!J359+ระนอง!J359+สงขลา!J359+สตูล!J359+สุราษฎร์ธานี!J359</f>
        <v>0</v>
      </c>
      <c r="K359" s="149">
        <f t="shared" ref="K359:K425" ca="1" si="37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7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กระบี่!I360+ชุมพร!I360+ตรัง!I360+นครศรีธรรมราช!I360+นราธิวาส!I360+ปัตตานี!I360+พังงา!I360+พัทลุง!I360+ภูเก็ต!I360+ยะลา!I360+ระนอง!I360+สงขลา!I360+สตูล!I360+สุราษฎร์ธานี!I360</f>
        <v>489792</v>
      </c>
      <c r="J360" s="283">
        <f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23</v>
      </c>
      <c r="K360" s="85">
        <f t="shared" ca="1" si="37"/>
        <v>4.6958709003005359E-3</v>
      </c>
      <c r="L360" s="66"/>
      <c r="M360" s="66"/>
      <c r="N360" s="66"/>
    </row>
    <row r="361" spans="1:14" ht="21.75" customHeight="1" x14ac:dyDescent="0.55000000000000004">
      <c r="A361" s="266"/>
      <c r="B361" s="267"/>
      <c r="C361" s="268"/>
      <c r="D361" s="267"/>
      <c r="E361" s="80"/>
      <c r="F361" s="80"/>
      <c r="G361" s="81"/>
      <c r="H361" s="282" t="s">
        <v>15</v>
      </c>
      <c r="I361" s="283">
        <f ca="1">กระบี่!I361+ชุมพร!I361+ตรัง!I361+นครศรีธรรมราช!I361+นราธิวาส!I361+ปัตตานี!I361+พังงา!I361+พัทลุง!I361+ภูเก็ต!I361+ยะลา!I361+ระนอง!I361+สงขลา!I361+สตูล!I361+สุราษฎร์ธานี!I361</f>
        <v>51592</v>
      </c>
      <c r="J361" s="283">
        <f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5</v>
      </c>
      <c r="K361" s="85">
        <f t="shared" ca="1" si="37"/>
        <v>9.6914250271359897E-3</v>
      </c>
      <c r="L361" s="66"/>
      <c r="M361" s="66"/>
      <c r="N361" s="66"/>
    </row>
    <row r="362" spans="1:14" ht="21.75" customHeight="1" x14ac:dyDescent="0.55000000000000004">
      <c r="A362" s="266"/>
      <c r="B362" s="267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f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23</v>
      </c>
      <c r="K362" s="54">
        <f t="shared" si="37"/>
        <v>0</v>
      </c>
      <c r="L362" s="66"/>
      <c r="M362" s="66"/>
      <c r="N362" s="66"/>
    </row>
    <row r="363" spans="1:14" ht="21.75" customHeight="1" x14ac:dyDescent="0.55000000000000004">
      <c r="A363" s="266"/>
      <c r="B363" s="267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f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5</v>
      </c>
      <c r="K363" s="54">
        <f t="shared" si="37"/>
        <v>0</v>
      </c>
      <c r="L363" s="66"/>
      <c r="M363" s="66"/>
      <c r="N363" s="66"/>
    </row>
    <row r="364" spans="1:14" ht="21.75" customHeight="1" x14ac:dyDescent="0.55000000000000004">
      <c r="A364" s="266"/>
      <c r="B364" s="267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f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54">
        <f t="shared" si="37"/>
        <v>0</v>
      </c>
      <c r="L364" s="66"/>
      <c r="M364" s="66"/>
      <c r="N364" s="66"/>
    </row>
    <row r="365" spans="1:14" ht="21.75" customHeight="1" x14ac:dyDescent="0.55000000000000004">
      <c r="A365" s="266"/>
      <c r="B365" s="267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f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54">
        <f t="shared" si="37"/>
        <v>0</v>
      </c>
      <c r="L365" s="66"/>
      <c r="M365" s="66"/>
      <c r="N365" s="66"/>
    </row>
    <row r="366" spans="1:14" ht="21.75" customHeight="1" x14ac:dyDescent="0.55000000000000004">
      <c r="A366" s="266"/>
      <c r="B366" s="267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f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54">
        <f t="shared" si="37"/>
        <v>0</v>
      </c>
      <c r="L366" s="66"/>
      <c r="M366" s="66"/>
      <c r="N366" s="66"/>
    </row>
    <row r="367" spans="1:14" ht="21.75" customHeight="1" x14ac:dyDescent="0.55000000000000004">
      <c r="A367" s="266"/>
      <c r="B367" s="267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f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54">
        <f t="shared" si="37"/>
        <v>0</v>
      </c>
      <c r="L367" s="66"/>
      <c r="M367" s="66"/>
      <c r="N367" s="66"/>
    </row>
    <row r="368" spans="1:14" ht="21.75" customHeight="1" x14ac:dyDescent="0.55000000000000004">
      <c r="A368" s="266"/>
      <c r="B368" s="267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489792</v>
      </c>
      <c r="J368" s="283">
        <f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0</v>
      </c>
      <c r="K368" s="85">
        <f t="shared" ca="1" si="37"/>
        <v>0</v>
      </c>
      <c r="L368" s="66"/>
      <c r="M368" s="66"/>
      <c r="N368" s="66"/>
    </row>
    <row r="369" spans="1:14" ht="21.75" customHeight="1" x14ac:dyDescent="0.55000000000000004">
      <c r="A369" s="266"/>
      <c r="B369" s="267"/>
      <c r="C369" s="268"/>
      <c r="D369" s="267"/>
      <c r="E369" s="80"/>
      <c r="F369" s="80"/>
      <c r="G369" s="81"/>
      <c r="H369" s="282" t="s">
        <v>15</v>
      </c>
      <c r="I369" s="283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51592</v>
      </c>
      <c r="J369" s="283">
        <f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85">
        <f t="shared" ca="1" si="37"/>
        <v>0</v>
      </c>
      <c r="L369" s="66"/>
      <c r="M369" s="66"/>
      <c r="N369" s="66"/>
    </row>
    <row r="370" spans="1:14" ht="21.75" customHeight="1" x14ac:dyDescent="0.55000000000000004">
      <c r="A370" s="266"/>
      <c r="B370" s="267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f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0</v>
      </c>
      <c r="K370" s="54">
        <f t="shared" si="37"/>
        <v>0</v>
      </c>
      <c r="L370" s="66"/>
      <c r="M370" s="66"/>
      <c r="N370" s="66"/>
    </row>
    <row r="371" spans="1:14" ht="21.75" customHeight="1" x14ac:dyDescent="0.55000000000000004">
      <c r="A371" s="266"/>
      <c r="B371" s="267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f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54">
        <f t="shared" si="37"/>
        <v>0</v>
      </c>
      <c r="L371" s="66"/>
      <c r="M371" s="66"/>
      <c r="N371" s="66"/>
    </row>
    <row r="372" spans="1:14" ht="21.75" customHeight="1" x14ac:dyDescent="0.55000000000000004">
      <c r="A372" s="266"/>
      <c r="B372" s="267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f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0</v>
      </c>
      <c r="K372" s="54">
        <f t="shared" si="37"/>
        <v>0</v>
      </c>
      <c r="L372" s="66"/>
      <c r="M372" s="66"/>
      <c r="N372" s="66"/>
    </row>
    <row r="373" spans="1:14" ht="21.75" customHeight="1" x14ac:dyDescent="0.55000000000000004">
      <c r="A373" s="266"/>
      <c r="B373" s="267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f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54">
        <f t="shared" si="37"/>
        <v>0</v>
      </c>
      <c r="L373" s="66"/>
      <c r="M373" s="66"/>
      <c r="N373" s="66"/>
    </row>
    <row r="374" spans="1:14" ht="21.75" customHeight="1" x14ac:dyDescent="0.55000000000000004">
      <c r="A374" s="266"/>
      <c r="B374" s="267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f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54">
        <f t="shared" si="37"/>
        <v>0</v>
      </c>
      <c r="L374" s="66"/>
      <c r="M374" s="66"/>
      <c r="N374" s="66"/>
    </row>
    <row r="375" spans="1:14" ht="21.75" customHeight="1" x14ac:dyDescent="0.55000000000000004">
      <c r="A375" s="266"/>
      <c r="B375" s="267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f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0</v>
      </c>
      <c r="K375" s="54">
        <f t="shared" si="37"/>
        <v>0</v>
      </c>
      <c r="L375" s="66"/>
      <c r="M375" s="66"/>
      <c r="N375" s="66"/>
    </row>
    <row r="376" spans="1:14" ht="21.75" customHeight="1" x14ac:dyDescent="0.55000000000000004">
      <c r="A376" s="287"/>
      <c r="B376" s="288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489792</v>
      </c>
      <c r="J376" s="283">
        <f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0</v>
      </c>
      <c r="K376" s="85">
        <f t="shared" ca="1" si="37"/>
        <v>0</v>
      </c>
      <c r="L376" s="294"/>
      <c r="M376" s="294"/>
      <c r="N376" s="294"/>
    </row>
    <row r="377" spans="1:14" ht="21.75" customHeight="1" x14ac:dyDescent="0.55000000000000004">
      <c r="A377" s="266"/>
      <c r="B377" s="267"/>
      <c r="C377" s="268"/>
      <c r="D377" s="267"/>
      <c r="E377" s="80"/>
      <c r="F377" s="80"/>
      <c r="G377" s="81"/>
      <c r="H377" s="282" t="s">
        <v>15</v>
      </c>
      <c r="I377" s="283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51592</v>
      </c>
      <c r="J377" s="283">
        <f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0</v>
      </c>
      <c r="K377" s="85">
        <f t="shared" ca="1" si="37"/>
        <v>0</v>
      </c>
      <c r="L377" s="66"/>
      <c r="M377" s="66"/>
      <c r="N377" s="66"/>
    </row>
    <row r="378" spans="1:14" ht="21.75" customHeight="1" x14ac:dyDescent="0.55000000000000004">
      <c r="A378" s="266"/>
      <c r="B378" s="267"/>
      <c r="C378" s="268"/>
      <c r="D378" s="267"/>
      <c r="E378" s="80"/>
      <c r="F378" s="79" t="s">
        <v>157</v>
      </c>
      <c r="G378" s="284"/>
      <c r="H378" s="285" t="s">
        <v>103</v>
      </c>
      <c r="I378" s="53"/>
      <c r="J378" s="74">
        <f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54">
        <f t="shared" si="37"/>
        <v>0</v>
      </c>
      <c r="L378" s="66"/>
      <c r="M378" s="66"/>
      <c r="N378" s="66"/>
    </row>
    <row r="379" spans="1:14" ht="21.75" customHeight="1" x14ac:dyDescent="0.55000000000000004">
      <c r="A379" s="266"/>
      <c r="B379" s="267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f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54">
        <f t="shared" si="37"/>
        <v>0</v>
      </c>
      <c r="L379" s="66"/>
      <c r="M379" s="66"/>
      <c r="N379" s="66"/>
    </row>
    <row r="380" spans="1:14" ht="21.75" customHeight="1" x14ac:dyDescent="0.55000000000000004">
      <c r="A380" s="266"/>
      <c r="B380" s="267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f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0</v>
      </c>
      <c r="K380" s="54">
        <f t="shared" si="37"/>
        <v>0</v>
      </c>
      <c r="L380" s="66"/>
      <c r="M380" s="66"/>
      <c r="N380" s="66"/>
    </row>
    <row r="381" spans="1:14" ht="21.75" customHeight="1" x14ac:dyDescent="0.55000000000000004">
      <c r="A381" s="266"/>
      <c r="B381" s="267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f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0</v>
      </c>
      <c r="K381" s="54">
        <f t="shared" si="37"/>
        <v>0</v>
      </c>
      <c r="L381" s="66"/>
      <c r="M381" s="66"/>
      <c r="N381" s="66"/>
    </row>
    <row r="382" spans="1:14" ht="21.75" customHeight="1" x14ac:dyDescent="0.55000000000000004">
      <c r="A382" s="266"/>
      <c r="B382" s="267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283">
        <f>กระบี่!J382+ชุมพร!J382+ตรัง!J382+นครศรีธรรมราช!J382+นราธิวาส!J382+ปัตตานี!J382+พังงา!J382+พัทลุง!J382+ภูเก็ต!J382+ยะลา!J382+ระนอง!J382+สงขลา!J382+สตูล!J382+สุราษฎร์ธานี!J382</f>
        <v>0</v>
      </c>
      <c r="K382" s="54">
        <f t="shared" si="37"/>
        <v>0</v>
      </c>
      <c r="L382" s="66"/>
      <c r="M382" s="66"/>
      <c r="N382" s="66"/>
    </row>
    <row r="383" spans="1:14" ht="21.75" customHeight="1" x14ac:dyDescent="0.55000000000000004">
      <c r="A383" s="266"/>
      <c r="B383" s="267"/>
      <c r="C383" s="268"/>
      <c r="D383" s="267"/>
      <c r="E383" s="80"/>
      <c r="F383" s="80"/>
      <c r="G383" s="80"/>
      <c r="H383" s="285" t="s">
        <v>15</v>
      </c>
      <c r="I383" s="53">
        <v>0</v>
      </c>
      <c r="J383" s="283">
        <f>กระบี่!J383+ชุมพร!J383+ตรัง!J383+นครศรีธรรมราช!J383+นราธิวาส!J383+ปัตตานี!J383+พังงา!J383+พัทลุง!J383+ภูเก็ต!J383+ยะลา!J383+ระนอง!J383+สงขลา!J383+สตูล!J383+สุราษฎร์ธานี!J383</f>
        <v>0</v>
      </c>
      <c r="K383" s="54">
        <f t="shared" si="37"/>
        <v>0</v>
      </c>
      <c r="L383" s="66"/>
      <c r="M383" s="66"/>
      <c r="N383" s="66"/>
    </row>
    <row r="384" spans="1:14" ht="21.75" customHeight="1" x14ac:dyDescent="0.55000000000000004">
      <c r="A384" s="266"/>
      <c r="B384" s="267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f>กระบี่!J384+ชุมพร!J384+ตรัง!J384+นครศรีธรรมราช!J384+นราธิวาส!J384+ปัตตานี!J384+พังงา!J384+พัทลุง!J384+ภูเก็ต!J384+ยะลา!J384+ระนอง!J384+สงขลา!J384+สตูล!J384+สุราษฎร์ธานี!J384</f>
        <v>0</v>
      </c>
      <c r="K384" s="54">
        <f t="shared" si="37"/>
        <v>0</v>
      </c>
      <c r="L384" s="66"/>
      <c r="M384" s="66"/>
      <c r="N384" s="66"/>
    </row>
    <row r="385" spans="1:14" ht="21.75" customHeight="1" x14ac:dyDescent="0.55000000000000004">
      <c r="A385" s="266"/>
      <c r="B385" s="267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f>กระบี่!J385+ชุมพร!J385+ตรัง!J385+นครศรีธรรมราช!J385+นราธิวาส!J385+ปัตตานี!J385+พังงา!J385+พัทลุง!J385+ภูเก็ต!J385+ยะลา!J385+ระนอง!J385+สงขลา!J385+สตูล!J385+สุราษฎร์ธานี!J385</f>
        <v>0</v>
      </c>
      <c r="K385" s="54">
        <f t="shared" si="37"/>
        <v>0</v>
      </c>
      <c r="L385" s="66"/>
      <c r="M385" s="66"/>
      <c r="N385" s="66"/>
    </row>
    <row r="386" spans="1:14" ht="21.75" customHeight="1" x14ac:dyDescent="0.55000000000000004">
      <c r="A386" s="266"/>
      <c r="B386" s="267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f>กระบี่!J386+ชุมพร!J386+ตรัง!J386+นครศรีธรรมราช!J386+นราธิวาส!J386+ปัตตานี!J386+พังงา!J386+พัทลุง!J386+ภูเก็ต!J386+ยะลา!J386+ระนอง!J386+สงขลา!J386+สตูล!J386+สุราษฎร์ธานี!J386</f>
        <v>0</v>
      </c>
      <c r="K386" s="54">
        <f t="shared" si="37"/>
        <v>0</v>
      </c>
      <c r="L386" s="66"/>
      <c r="M386" s="66"/>
      <c r="N386" s="66"/>
    </row>
    <row r="387" spans="1:14" ht="21.75" customHeight="1" x14ac:dyDescent="0.55000000000000004">
      <c r="A387" s="266"/>
      <c r="B387" s="267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f>กระบี่!J387+ชุมพร!J387+ตรัง!J387+นครศรีธรรมราช!J387+นราธิวาส!J387+ปัตตานี!J387+พังงา!J387+พัทลุง!J387+ภูเก็ต!J387+ยะลา!J387+ระนอง!J387+สงขลา!J387+สตูล!J387+สุราษฎร์ธานี!J387</f>
        <v>0</v>
      </c>
      <c r="K387" s="54">
        <f t="shared" si="37"/>
        <v>0</v>
      </c>
      <c r="L387" s="66"/>
      <c r="M387" s="66"/>
      <c r="N387" s="66"/>
    </row>
    <row r="388" spans="1:14" ht="21.75" customHeight="1" x14ac:dyDescent="0.55000000000000004">
      <c r="A388" s="266"/>
      <c r="B388" s="267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f>กระบี่!J388+ชุมพร!J388+ตรัง!J388+นครศรีธรรมราช!J388+นราธิวาส!J388+ปัตตานี!J388+พังงา!J388+พัทลุง!J388+ภูเก็ต!J388+ยะลา!J388+ระนอง!J388+สงขลา!J388+สตูล!J388+สุราษฎร์ธานี!J388</f>
        <v>0</v>
      </c>
      <c r="K388" s="54">
        <f t="shared" si="37"/>
        <v>0</v>
      </c>
      <c r="L388" s="66"/>
      <c r="M388" s="66"/>
      <c r="N388" s="66"/>
    </row>
    <row r="389" spans="1:14" ht="21.75" customHeight="1" x14ac:dyDescent="0.55000000000000004">
      <c r="A389" s="295"/>
      <c r="B389" s="296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f>กระบี่!J389+ชุมพร!J389+ตรัง!J389+นครศรีธรรมราช!J389+นราธิวาส!J389+ปัตตานี!J389+พังงา!J389+พัทลุง!J389+ภูเก็ต!J389+ยะลา!J389+ระนอง!J389+สงขลา!J389+สตูล!J389+สุราษฎร์ธานี!J389</f>
        <v>0</v>
      </c>
      <c r="K389" s="54">
        <f t="shared" si="37"/>
        <v>0</v>
      </c>
      <c r="L389" s="123"/>
      <c r="M389" s="123"/>
      <c r="N389" s="123"/>
    </row>
    <row r="390" spans="1:14" ht="21.75" customHeight="1" x14ac:dyDescent="0.55000000000000004">
      <c r="A390" s="60"/>
      <c r="B390" s="61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กระบี่!I390+ชุมพร!I390+ตรัง!I390+นครศรีธรรมราช!I390+นราธิวาส!I390+ปัตตานี!I390+พังงา!I390+พัทลุง!I390+ภูเก็ต!I390+ยะลา!I390+ระนอง!I390+สงขลา!I390+สตูล!I390+สุราษฎร์ธานี!I390</f>
        <v>8558</v>
      </c>
      <c r="J390" s="148">
        <f>กระบี่!J390+ชุมพร!J390+ตรัง!J390+นครศรีธรรมราช!J390+นราธิวาส!J390+ปัตตานี!J390+พังงา!J390+พัทลุง!J390+ภูเก็ต!J390+ยะลา!J390+ระนอง!J390+สงขลา!J390+สตูล!J390+สุราษฎร์ธานี!J390</f>
        <v>122</v>
      </c>
      <c r="K390" s="149">
        <f t="shared" ca="1" si="37"/>
        <v>1.4255667211965413</v>
      </c>
      <c r="L390" s="151"/>
      <c r="M390" s="151"/>
      <c r="N390" s="151"/>
    </row>
    <row r="391" spans="1:14" ht="21.75" customHeight="1" x14ac:dyDescent="0.55000000000000004">
      <c r="A391" s="60"/>
      <c r="B391" s="61"/>
      <c r="C391" s="67"/>
      <c r="D391" s="267"/>
      <c r="E391" s="299" t="s">
        <v>164</v>
      </c>
      <c r="F391" s="300"/>
      <c r="G391" s="301"/>
      <c r="H391" s="302" t="s">
        <v>103</v>
      </c>
      <c r="I391" s="283">
        <f ca="1">กระบี่!I391+ชุมพร!I391+ตรัง!I391+นครศรีธรรมราช!I391+นราธิวาส!I391+ปัตตานี!I391+พังงา!I391+พัทลุง!I391+ภูเก็ต!I391+ยะลา!I391+ระนอง!I391+สงขลา!I391+สตูล!I391+สุราษฎร์ธานี!I391</f>
        <v>8558</v>
      </c>
      <c r="J391" s="283">
        <f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122</v>
      </c>
      <c r="K391" s="54">
        <f t="shared" ca="1" si="37"/>
        <v>1.4255667211965413</v>
      </c>
      <c r="L391" s="66"/>
      <c r="M391" s="66"/>
      <c r="N391" s="66"/>
    </row>
    <row r="392" spans="1:14" ht="21.75" customHeight="1" x14ac:dyDescent="0.55000000000000004">
      <c r="A392" s="60"/>
      <c r="B392" s="61"/>
      <c r="C392" s="67"/>
      <c r="D392" s="61"/>
      <c r="E392" s="300"/>
      <c r="F392" s="300"/>
      <c r="G392" s="301"/>
      <c r="H392" s="302" t="s">
        <v>15</v>
      </c>
      <c r="I392" s="283">
        <f ca="1">กระบี่!I392+ชุมพร!I392+ตรัง!I392+นครศรีธรรมราช!I392+นราธิวาส!I392+ปัตตานี!I392+พังงา!I392+พัทลุง!I392+ภูเก็ต!I392+ยะลา!I392+ระนอง!I392+สงขลา!I392+สตูล!I392+สุราษฎร์ธานี!I392</f>
        <v>867</v>
      </c>
      <c r="J392" s="283">
        <f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11</v>
      </c>
      <c r="K392" s="85">
        <f t="shared" ca="1" si="37"/>
        <v>1.2687427912341407</v>
      </c>
      <c r="L392" s="66"/>
      <c r="M392" s="66"/>
      <c r="N392" s="66"/>
    </row>
    <row r="393" spans="1:14" ht="21.75" customHeight="1" x14ac:dyDescent="0.55000000000000004">
      <c r="A393" s="60"/>
      <c r="B393" s="61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104</v>
      </c>
      <c r="K393" s="54">
        <f t="shared" si="37"/>
        <v>0</v>
      </c>
      <c r="L393" s="66"/>
      <c r="M393" s="66"/>
      <c r="N393" s="66"/>
    </row>
    <row r="394" spans="1:14" ht="21.75" customHeight="1" x14ac:dyDescent="0.55000000000000004">
      <c r="A394" s="60"/>
      <c r="B394" s="61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8</v>
      </c>
      <c r="K394" s="54">
        <f t="shared" si="37"/>
        <v>0</v>
      </c>
      <c r="L394" s="66"/>
      <c r="M394" s="66"/>
      <c r="N394" s="66"/>
    </row>
    <row r="395" spans="1:14" ht="21.75" customHeight="1" x14ac:dyDescent="0.55000000000000004">
      <c r="A395" s="60"/>
      <c r="B395" s="61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f>กระบี่!J395+ชุมพร!J395+ตรัง!J395+นครศรีธรรมราช!J395+นราธิวาส!J395+ปัตตานี!J395+พังงา!J395+พัทลุง!J395+ภูเก็ต!J395+ยะลา!J395+ระนอง!J395+สงขลา!J395+สตูล!J395+สุราษฎร์ธานี!J395</f>
        <v>104</v>
      </c>
      <c r="K395" s="54">
        <f t="shared" si="37"/>
        <v>0</v>
      </c>
      <c r="L395" s="66"/>
      <c r="M395" s="66"/>
      <c r="N395" s="66"/>
    </row>
    <row r="396" spans="1:14" ht="21.75" customHeight="1" x14ac:dyDescent="0.55000000000000004">
      <c r="A396" s="60"/>
      <c r="B396" s="61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f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8</v>
      </c>
      <c r="K396" s="54">
        <f t="shared" si="37"/>
        <v>0</v>
      </c>
      <c r="L396" s="66"/>
      <c r="M396" s="66"/>
      <c r="N396" s="66"/>
    </row>
    <row r="397" spans="1:14" ht="21.75" customHeight="1" x14ac:dyDescent="0.55000000000000004">
      <c r="A397" s="60"/>
      <c r="B397" s="61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f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0</v>
      </c>
      <c r="K397" s="54">
        <f t="shared" si="37"/>
        <v>0</v>
      </c>
      <c r="L397" s="66"/>
      <c r="M397" s="66"/>
      <c r="N397" s="66"/>
    </row>
    <row r="398" spans="1:14" ht="21.75" customHeight="1" x14ac:dyDescent="0.55000000000000004">
      <c r="A398" s="60"/>
      <c r="B398" s="61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f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0</v>
      </c>
      <c r="K398" s="54">
        <f t="shared" si="37"/>
        <v>0</v>
      </c>
      <c r="L398" s="66"/>
      <c r="M398" s="66"/>
      <c r="N398" s="66"/>
    </row>
    <row r="399" spans="1:14" ht="21.75" customHeight="1" x14ac:dyDescent="0.55000000000000004">
      <c r="A399" s="60"/>
      <c r="B399" s="61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f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54">
        <f t="shared" si="37"/>
        <v>0</v>
      </c>
      <c r="L399" s="66"/>
      <c r="M399" s="66"/>
      <c r="N399" s="66"/>
    </row>
    <row r="400" spans="1:14" ht="21.75" customHeight="1" x14ac:dyDescent="0.55000000000000004">
      <c r="A400" s="60"/>
      <c r="B400" s="61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f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54">
        <f t="shared" si="37"/>
        <v>0</v>
      </c>
      <c r="L400" s="66"/>
      <c r="M400" s="66"/>
      <c r="N400" s="66"/>
    </row>
    <row r="401" spans="1:14" ht="21.75" customHeight="1" x14ac:dyDescent="0.55000000000000004">
      <c r="A401" s="60"/>
      <c r="B401" s="61"/>
      <c r="C401" s="67"/>
      <c r="D401" s="61"/>
      <c r="E401" s="79" t="s">
        <v>169</v>
      </c>
      <c r="F401" s="303"/>
      <c r="G401" s="284"/>
      <c r="H401" s="285" t="s">
        <v>103</v>
      </c>
      <c r="I401" s="53">
        <v>0</v>
      </c>
      <c r="J401" s="53">
        <f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18</v>
      </c>
      <c r="K401" s="54">
        <f t="shared" si="37"/>
        <v>0</v>
      </c>
      <c r="L401" s="66"/>
      <c r="M401" s="66"/>
      <c r="N401" s="66"/>
    </row>
    <row r="402" spans="1:14" ht="21.75" customHeight="1" x14ac:dyDescent="0.55000000000000004">
      <c r="A402" s="60"/>
      <c r="B402" s="61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3</v>
      </c>
      <c r="K402" s="54">
        <f t="shared" si="37"/>
        <v>0</v>
      </c>
      <c r="L402" s="66"/>
      <c r="M402" s="66"/>
      <c r="N402" s="66"/>
    </row>
    <row r="403" spans="1:14" ht="21.75" customHeight="1" x14ac:dyDescent="0.55000000000000004">
      <c r="A403" s="60"/>
      <c r="B403" s="61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f>กระบี่!J403+ชุมพร!J403+ตรัง!J403+นครศรีธรรมราช!J403+นราธิวาส!J403+ปัตตานี!J403+พังงา!J403+พัทลุง!J403+ภูเก็ต!J403+ยะลา!J403+ระนอง!J403+สงขลา!J403+สตูล!J403+สุราษฎร์ธานี!J403</f>
        <v>18</v>
      </c>
      <c r="K403" s="54">
        <f t="shared" si="37"/>
        <v>0</v>
      </c>
      <c r="L403" s="66"/>
      <c r="M403" s="66"/>
      <c r="N403" s="66"/>
    </row>
    <row r="404" spans="1:14" ht="21.75" customHeight="1" x14ac:dyDescent="0.55000000000000004">
      <c r="A404" s="60"/>
      <c r="B404" s="61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f>กระบี่!J404+ชุมพร!J404+ตรัง!J404+นครศรีธรรมราช!J404+นราธิวาส!J404+ปัตตานี!J404+พังงา!J404+พัทลุง!J404+ภูเก็ต!J404+ยะลา!J404+ระนอง!J404+สงขลา!J404+สตูล!J404+สุราษฎร์ธานี!J404</f>
        <v>3</v>
      </c>
      <c r="K404" s="54">
        <f t="shared" si="37"/>
        <v>0</v>
      </c>
      <c r="L404" s="66"/>
      <c r="M404" s="66"/>
      <c r="N404" s="66"/>
    </row>
    <row r="405" spans="1:14" ht="21.75" customHeight="1" x14ac:dyDescent="0.55000000000000004">
      <c r="A405" s="60"/>
      <c r="B405" s="61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f>กระบี่!J405+ชุมพร!J405+ตรัง!J405+นครศรีธรรมราช!J405+นราธิวาส!J405+ปัตตานี!J405+พังงา!J405+พัทลุง!J405+ภูเก็ต!J405+ยะลา!J405+ระนอง!J405+สงขลา!J405+สตูล!J405+สุราษฎร์ธานี!J405</f>
        <v>0</v>
      </c>
      <c r="K405" s="54">
        <f t="shared" si="37"/>
        <v>0</v>
      </c>
      <c r="L405" s="66"/>
      <c r="M405" s="66"/>
      <c r="N405" s="66"/>
    </row>
    <row r="406" spans="1:14" ht="21.75" customHeight="1" x14ac:dyDescent="0.55000000000000004">
      <c r="A406" s="60"/>
      <c r="B406" s="61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f>กระบี่!J406+ชุมพร!J406+ตรัง!J406+นครศรีธรรมราช!J406+นราธิวาส!J406+ปัตตานี!J406+พังงา!J406+พัทลุง!J406+ภูเก็ต!J406+ยะลา!J406+ระนอง!J406+สงขลา!J406+สตูล!J406+สุราษฎร์ธานี!J406</f>
        <v>0</v>
      </c>
      <c r="K406" s="54">
        <f t="shared" si="37"/>
        <v>0</v>
      </c>
      <c r="L406" s="66"/>
      <c r="M406" s="66"/>
      <c r="N406" s="66"/>
    </row>
    <row r="407" spans="1:14" ht="21.75" customHeight="1" x14ac:dyDescent="0.55000000000000004">
      <c r="A407" s="60"/>
      <c r="B407" s="61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f>กระบี่!J407+ชุมพร!J407+ตรัง!J407+นครศรีธรรมราช!J407+นราธิวาส!J407+ปัตตานี!J407+พังงา!J407+พัทลุง!J407+ภูเก็ต!J407+ยะลา!J407+ระนอง!J407+สงขลา!J407+สตูล!J407+สุราษฎร์ธานี!J407</f>
        <v>0</v>
      </c>
      <c r="K407" s="54">
        <f t="shared" si="37"/>
        <v>0</v>
      </c>
      <c r="L407" s="66"/>
      <c r="M407" s="66"/>
      <c r="N407" s="66"/>
    </row>
    <row r="408" spans="1:14" ht="21.75" customHeight="1" x14ac:dyDescent="0.55000000000000004">
      <c r="A408" s="60"/>
      <c r="B408" s="61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f>กระบี่!J408+ชุมพร!J408+ตรัง!J408+นครศรีธรรมราช!J408+นราธิวาส!J408+ปัตตานี!J408+พังงา!J408+พัทลุง!J408+ภูเก็ต!J408+ยะลา!J408+ระนอง!J408+สงขลา!J408+สตูล!J408+สุราษฎร์ธานี!J408</f>
        <v>0</v>
      </c>
      <c r="K408" s="54">
        <f t="shared" si="37"/>
        <v>0</v>
      </c>
      <c r="L408" s="66"/>
      <c r="M408" s="66"/>
      <c r="N408" s="66"/>
    </row>
    <row r="409" spans="1:14" ht="21.75" customHeight="1" x14ac:dyDescent="0.55000000000000004">
      <c r="A409" s="60"/>
      <c r="B409" s="61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กระบี่!I409+ชุมพร!I409+ตรัง!I409+นครศรีธรรมราช!I409+นราธิวาส!I409+ปัตตานี!I409+พังงา!I409+พัทลุง!I409+ภูเก็ต!I409+ยะลา!I409+ระนอง!I409+สงขลา!I409+สตูล!I409+สุราษฎร์ธานี!I409</f>
        <v>0</v>
      </c>
      <c r="J409" s="148">
        <f ca="1">กระบี่!J409+ชุมพร!J409+ตรัง!J409+นครศรีธรรมราช!J409+นราธิวาส!J409+ปัตตานี!J409+พังงา!J409+พัทลุง!J409+ภูเก็ต!J409+ยะลา!J409+ระนอง!J409+สงขลา!J409+สตูล!J409+สุราษฎร์ธานี!J409</f>
        <v>0</v>
      </c>
      <c r="K409" s="149">
        <f t="shared" ca="1" si="37"/>
        <v>0</v>
      </c>
      <c r="L409" s="66"/>
      <c r="M409" s="66"/>
      <c r="N409" s="66"/>
    </row>
    <row r="410" spans="1:14" ht="21.75" customHeight="1" x14ac:dyDescent="0.55000000000000004">
      <c r="A410" s="60"/>
      <c r="B410" s="61"/>
      <c r="C410" s="307"/>
      <c r="D410" s="307"/>
      <c r="E410" s="307" t="s">
        <v>174</v>
      </c>
      <c r="F410" s="308"/>
      <c r="G410" s="309"/>
      <c r="H410" s="310" t="s">
        <v>103</v>
      </c>
      <c r="I410" s="161">
        <f ca="1">กระบี่!I410+ชุมพร!I410+ตรัง!I410+นครศรีธรรมราช!I410+นราธิวาส!I410+ปัตตานี!I410+พังงา!I410+พัทลุง!I410+ภูเก็ต!I410+ยะลา!I410+ระนอง!I410+สงขลา!I410+สตูล!I410+สุราษฎร์ธานี!I410</f>
        <v>0</v>
      </c>
      <c r="J410" s="161">
        <f ca="1">กระบี่!J410+ชุมพร!J410+ตรัง!J410+นครศรีธรรมราช!J410+นราธิวาส!J410+ปัตตานี!J410+พังงา!J410+พัทลุง!J410+ภูเก็ต!J410+ยะลา!J410+ระนอง!J410+สงขลา!J410+สตูล!J410+สุราษฎร์ธานี!J410</f>
        <v>0</v>
      </c>
      <c r="K410" s="158">
        <f t="shared" ca="1" si="37"/>
        <v>0</v>
      </c>
      <c r="L410" s="66"/>
      <c r="M410" s="66"/>
      <c r="N410" s="66"/>
    </row>
    <row r="411" spans="1:14" ht="21.75" customHeight="1" x14ac:dyDescent="0.55000000000000004">
      <c r="A411" s="60"/>
      <c r="B411" s="61"/>
      <c r="C411" s="307"/>
      <c r="D411" s="307"/>
      <c r="E411" s="307" t="s">
        <v>175</v>
      </c>
      <c r="F411" s="308"/>
      <c r="G411" s="309"/>
      <c r="H411" s="310" t="s">
        <v>15</v>
      </c>
      <c r="I411" s="161">
        <f ca="1">กระบี่!I411+ชุมพร!I411+ตรัง!I411+นครศรีธรรมราช!I411+นราธิวาส!I411+ปัตตานี!I411+พังงา!I411+พัทลุง!I411+ภูเก็ต!I411+ยะลา!I411+ระนอง!I411+สงขลา!I411+สตูล!I411+สุราษฎร์ธานี!I411</f>
        <v>0</v>
      </c>
      <c r="J411" s="161">
        <f ca="1">กระบี่!J411+ชุมพร!J411+ตรัง!J411+นครศรีธรรมราช!J411+นราธิวาส!J411+ปัตตานี!J411+พังงา!J411+พัทลุง!J411+ภูเก็ต!J411+ยะลา!J411+ระนอง!J411+สงขลา!J411+สตูล!J411+สุราษฎร์ธานี!J411</f>
        <v>0</v>
      </c>
      <c r="K411" s="158">
        <f t="shared" ca="1" si="37"/>
        <v>0</v>
      </c>
      <c r="L411" s="66"/>
      <c r="M411" s="66"/>
      <c r="N411" s="66"/>
    </row>
    <row r="412" spans="1:14" ht="21.75" customHeight="1" x14ac:dyDescent="0.55000000000000004">
      <c r="A412" s="60"/>
      <c r="B412" s="61"/>
      <c r="C412" s="67"/>
      <c r="D412" s="61"/>
      <c r="E412" s="80"/>
      <c r="F412" s="80"/>
      <c r="G412" s="105" t="s">
        <v>176</v>
      </c>
      <c r="H412" s="285" t="s">
        <v>103</v>
      </c>
      <c r="I412" s="53">
        <v>0</v>
      </c>
      <c r="J412" s="7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54">
        <f t="shared" si="37"/>
        <v>0</v>
      </c>
      <c r="L412" s="66"/>
      <c r="M412" s="66"/>
      <c r="N412" s="66"/>
    </row>
    <row r="413" spans="1:14" ht="21.75" customHeight="1" x14ac:dyDescent="0.55000000000000004">
      <c r="A413" s="60"/>
      <c r="B413" s="61"/>
      <c r="C413" s="67"/>
      <c r="D413" s="61"/>
      <c r="E413" s="80"/>
      <c r="F413" s="80"/>
      <c r="G413" s="81"/>
      <c r="H413" s="285" t="s">
        <v>15</v>
      </c>
      <c r="I413" s="53">
        <v>0</v>
      </c>
      <c r="J413" s="74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0</v>
      </c>
      <c r="K413" s="54">
        <f t="shared" si="37"/>
        <v>0</v>
      </c>
      <c r="L413" s="66"/>
      <c r="M413" s="66"/>
      <c r="N413" s="66"/>
    </row>
    <row r="414" spans="1:14" ht="21.75" customHeight="1" x14ac:dyDescent="0.55000000000000004">
      <c r="A414" s="60"/>
      <c r="B414" s="61"/>
      <c r="C414" s="67"/>
      <c r="D414" s="61"/>
      <c r="E414" s="80"/>
      <c r="F414" s="80"/>
      <c r="G414" s="105" t="s">
        <v>177</v>
      </c>
      <c r="H414" s="285" t="s">
        <v>103</v>
      </c>
      <c r="I414" s="53">
        <v>0</v>
      </c>
      <c r="J414" s="74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0</v>
      </c>
      <c r="K414" s="54">
        <f t="shared" si="37"/>
        <v>0</v>
      </c>
      <c r="L414" s="66"/>
      <c r="M414" s="66"/>
      <c r="N414" s="66"/>
    </row>
    <row r="415" spans="1:14" ht="21.75" customHeight="1" x14ac:dyDescent="0.55000000000000004">
      <c r="A415" s="60"/>
      <c r="B415" s="61"/>
      <c r="C415" s="67"/>
      <c r="D415" s="61"/>
      <c r="E415" s="80"/>
      <c r="F415" s="80"/>
      <c r="G415" s="81"/>
      <c r="H415" s="285" t="s">
        <v>15</v>
      </c>
      <c r="I415" s="53">
        <v>0</v>
      </c>
      <c r="J415" s="7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0</v>
      </c>
      <c r="K415" s="54">
        <f t="shared" si="37"/>
        <v>0</v>
      </c>
      <c r="L415" s="66"/>
      <c r="M415" s="66"/>
      <c r="N415" s="66"/>
    </row>
    <row r="416" spans="1:14" ht="21.75" customHeight="1" x14ac:dyDescent="0.55000000000000004">
      <c r="A416" s="60"/>
      <c r="B416" s="61"/>
      <c r="C416" s="67"/>
      <c r="D416" s="61"/>
      <c r="E416" s="80"/>
      <c r="F416" s="80"/>
      <c r="G416" s="105" t="s">
        <v>178</v>
      </c>
      <c r="H416" s="285" t="s">
        <v>103</v>
      </c>
      <c r="I416" s="53">
        <v>0</v>
      </c>
      <c r="J416" s="74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0</v>
      </c>
      <c r="K416" s="54">
        <f t="shared" si="37"/>
        <v>0</v>
      </c>
      <c r="L416" s="66"/>
      <c r="M416" s="66"/>
      <c r="N416" s="66"/>
    </row>
    <row r="417" spans="1:14" ht="21.75" customHeight="1" x14ac:dyDescent="0.55000000000000004">
      <c r="A417" s="60"/>
      <c r="B417" s="61"/>
      <c r="C417" s="67"/>
      <c r="D417" s="61"/>
      <c r="E417" s="80"/>
      <c r="F417" s="80"/>
      <c r="G417" s="81"/>
      <c r="H417" s="285" t="s">
        <v>15</v>
      </c>
      <c r="I417" s="53">
        <v>0</v>
      </c>
      <c r="J417" s="74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0</v>
      </c>
      <c r="K417" s="54">
        <f t="shared" si="37"/>
        <v>0</v>
      </c>
      <c r="L417" s="66"/>
      <c r="M417" s="66"/>
      <c r="N417" s="66"/>
    </row>
    <row r="418" spans="1:14" ht="21.75" customHeight="1" x14ac:dyDescent="0.55000000000000004">
      <c r="A418" s="60"/>
      <c r="B418" s="61"/>
      <c r="C418" s="307"/>
      <c r="D418" s="307"/>
      <c r="E418" s="307" t="s">
        <v>179</v>
      </c>
      <c r="F418" s="308"/>
      <c r="G418" s="309"/>
      <c r="H418" s="310" t="s">
        <v>103</v>
      </c>
      <c r="I418" s="161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0</v>
      </c>
      <c r="J418" s="161">
        <f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0</v>
      </c>
      <c r="K418" s="158">
        <f t="shared" ca="1" si="37"/>
        <v>0</v>
      </c>
      <c r="L418" s="66"/>
      <c r="M418" s="66"/>
      <c r="N418" s="66"/>
    </row>
    <row r="419" spans="1:14" ht="21.75" customHeight="1" x14ac:dyDescent="0.55000000000000004">
      <c r="A419" s="60"/>
      <c r="B419" s="61"/>
      <c r="C419" s="307"/>
      <c r="D419" s="307"/>
      <c r="E419" s="307" t="s">
        <v>180</v>
      </c>
      <c r="F419" s="308"/>
      <c r="G419" s="309"/>
      <c r="H419" s="310" t="s">
        <v>15</v>
      </c>
      <c r="I419" s="161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0</v>
      </c>
      <c r="J419" s="161">
        <f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0</v>
      </c>
      <c r="K419" s="158">
        <f t="shared" ca="1" si="37"/>
        <v>0</v>
      </c>
      <c r="L419" s="66"/>
      <c r="M419" s="66"/>
      <c r="N419" s="66"/>
    </row>
    <row r="420" spans="1:14" ht="21.75" customHeight="1" x14ac:dyDescent="0.55000000000000004">
      <c r="A420" s="60"/>
      <c r="B420" s="61"/>
      <c r="C420" s="67"/>
      <c r="D420" s="61"/>
      <c r="E420" s="80"/>
      <c r="F420" s="80"/>
      <c r="G420" s="105" t="s">
        <v>176</v>
      </c>
      <c r="H420" s="285" t="s">
        <v>103</v>
      </c>
      <c r="I420" s="53">
        <v>0</v>
      </c>
      <c r="J420" s="74">
        <f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0</v>
      </c>
      <c r="K420" s="54">
        <f t="shared" si="37"/>
        <v>0</v>
      </c>
      <c r="L420" s="66"/>
      <c r="M420" s="66"/>
      <c r="N420" s="66"/>
    </row>
    <row r="421" spans="1:14" ht="21.75" customHeight="1" x14ac:dyDescent="0.55000000000000004">
      <c r="A421" s="60"/>
      <c r="B421" s="61"/>
      <c r="C421" s="67"/>
      <c r="D421" s="61"/>
      <c r="E421" s="80"/>
      <c r="F421" s="80"/>
      <c r="G421" s="81"/>
      <c r="H421" s="285" t="s">
        <v>15</v>
      </c>
      <c r="I421" s="53">
        <v>0</v>
      </c>
      <c r="J421" s="74">
        <f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0</v>
      </c>
      <c r="K421" s="54">
        <f t="shared" si="37"/>
        <v>0</v>
      </c>
      <c r="L421" s="66"/>
      <c r="M421" s="66"/>
      <c r="N421" s="66"/>
    </row>
    <row r="422" spans="1:14" ht="21.75" customHeight="1" x14ac:dyDescent="0.55000000000000004">
      <c r="A422" s="60"/>
      <c r="B422" s="61"/>
      <c r="C422" s="67"/>
      <c r="D422" s="61"/>
      <c r="E422" s="80"/>
      <c r="F422" s="80"/>
      <c r="G422" s="105" t="s">
        <v>177</v>
      </c>
      <c r="H422" s="285" t="s">
        <v>103</v>
      </c>
      <c r="I422" s="53">
        <v>0</v>
      </c>
      <c r="J422" s="74">
        <f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0</v>
      </c>
      <c r="K422" s="54">
        <f t="shared" si="37"/>
        <v>0</v>
      </c>
      <c r="L422" s="66"/>
      <c r="M422" s="66"/>
      <c r="N422" s="66"/>
    </row>
    <row r="423" spans="1:14" ht="21.75" customHeight="1" x14ac:dyDescent="0.55000000000000004">
      <c r="A423" s="60"/>
      <c r="B423" s="61"/>
      <c r="C423" s="67"/>
      <c r="D423" s="61"/>
      <c r="E423" s="80"/>
      <c r="F423" s="80"/>
      <c r="G423" s="81"/>
      <c r="H423" s="285" t="s">
        <v>15</v>
      </c>
      <c r="I423" s="53">
        <v>0</v>
      </c>
      <c r="J423" s="74">
        <f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0</v>
      </c>
      <c r="K423" s="54">
        <f t="shared" si="37"/>
        <v>0</v>
      </c>
      <c r="L423" s="66"/>
      <c r="M423" s="66"/>
      <c r="N423" s="66"/>
    </row>
    <row r="424" spans="1:14" ht="21.75" customHeight="1" x14ac:dyDescent="0.55000000000000004">
      <c r="A424" s="60"/>
      <c r="B424" s="61"/>
      <c r="C424" s="67"/>
      <c r="D424" s="61"/>
      <c r="E424" s="80"/>
      <c r="F424" s="80"/>
      <c r="G424" s="105" t="s">
        <v>181</v>
      </c>
      <c r="H424" s="285" t="s">
        <v>103</v>
      </c>
      <c r="I424" s="53">
        <v>0</v>
      </c>
      <c r="J424" s="74">
        <f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0</v>
      </c>
      <c r="K424" s="54">
        <f t="shared" si="37"/>
        <v>0</v>
      </c>
      <c r="L424" s="66"/>
      <c r="M424" s="66"/>
      <c r="N424" s="66"/>
    </row>
    <row r="425" spans="1:14" ht="21.75" customHeight="1" x14ac:dyDescent="0.55000000000000004">
      <c r="A425" s="311"/>
      <c r="B425" s="312"/>
      <c r="C425" s="313"/>
      <c r="D425" s="312"/>
      <c r="E425" s="314"/>
      <c r="F425" s="314"/>
      <c r="G425" s="315"/>
      <c r="H425" s="316" t="s">
        <v>15</v>
      </c>
      <c r="I425" s="317">
        <v>0</v>
      </c>
      <c r="J425" s="318">
        <f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0</v>
      </c>
      <c r="K425" s="319">
        <f t="shared" si="37"/>
        <v>0</v>
      </c>
      <c r="L425" s="320"/>
      <c r="M425" s="320"/>
      <c r="N425" s="320"/>
    </row>
    <row r="426" spans="1:14" ht="21.75" customHeight="1" x14ac:dyDescent="0.55000000000000004">
      <c r="A426" s="269"/>
      <c r="B426" s="270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293</v>
      </c>
      <c r="J426" s="275">
        <f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78</v>
      </c>
      <c r="K426" s="276">
        <f ca="1">IF(I426&gt;0,J426*100/I426,0)</f>
        <v>26.621160409556314</v>
      </c>
      <c r="L426" s="277">
        <f ca="1">กระบี่!L426+ชุมพร!L426+ตรัง!L426+นครศรีธรรมราช!L426+นราธิวาส!L426+ปัตตานี!L426+พังงา!L426+พัทลุง!L426+ภูเก็ต!L426+ยะลา!L426+ระนอง!L426+สงขลา!L426+สตูล!L426+สุราษฎร์ธานี!L426</f>
        <v>468020</v>
      </c>
      <c r="M426" s="277">
        <f>กระบี่!M426+ชุมพร!M426+ตรัง!M426+นครศรีธรรมราช!M426+นราธิวาส!M426+ปัตตานี!M426+พังงา!M426+พัทลุง!M426+ภูเก็ต!M426+ยะลา!M426+ระนอง!M426+สงขลา!M426+สตูล!M426+สุราษฎร์ธานี!M426</f>
        <v>133702.68</v>
      </c>
      <c r="N426" s="277">
        <f t="shared" ref="N426:N430" ca="1" si="38">+IF(L426&gt;0,M426*100/L426,0)</f>
        <v>28.567727874877143</v>
      </c>
    </row>
    <row r="427" spans="1:14" ht="21.75" customHeight="1" x14ac:dyDescent="0.55000000000000004">
      <c r="A427" s="46"/>
      <c r="B427" s="47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f>กระบี่!L427+ชุมพร!L427+ตรัง!L427+นครศรีธรรมราช!L427+นราธิวาส!L427+ปัตตานี!L427+พังงา!L427+พัทลุง!L427+ภูเก็ต!L427+ยะลา!L427+ระนอง!L427+สงขลา!L427+สตูล!L427+สุราษฎร์ธานี!L427</f>
        <v>0</v>
      </c>
      <c r="M427" s="58">
        <f>กระบี่!M427+ชุมพร!M427+ตรัง!M427+นครศรีธรรมราช!M427+นราธิวาส!M427+ปัตตานี!M427+พังงา!M427+พัทลุง!M427+ภูเก็ต!M427+ยะลา!M427+ระนอง!M427+สงขลา!M427+สตูล!M427+สุราษฎร์ธานี!M427</f>
        <v>0</v>
      </c>
      <c r="N427" s="58">
        <f t="shared" si="38"/>
        <v>0</v>
      </c>
    </row>
    <row r="428" spans="1:14" ht="21.75" customHeight="1" x14ac:dyDescent="0.55000000000000004">
      <c r="A428" s="46"/>
      <c r="B428" s="47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ca="1">กระบี่!L428+ชุมพร!L428+ตรัง!L428+นครศรีธรรมราช!L428+นราธิวาส!L428+ปัตตานี!L428+พังงา!L428+พัทลุง!L428+ภูเก็ต!L428+ยะลา!L428+ระนอง!L428+สงขลา!L428+สตูล!L428+สุราษฎร์ธานี!L428</f>
        <v>468020</v>
      </c>
      <c r="M428" s="58">
        <f>กระบี่!M428+ชุมพร!M428+ตรัง!M428+นครศรีธรรมราช!M428+นราธิวาส!M428+ปัตตานี!M428+พังงา!M428+พัทลุง!M428+ภูเก็ต!M428+ยะลา!M428+ระนอง!M428+สงขลา!M428+สตูล!M428+สุราษฎร์ธานี!M428</f>
        <v>133702.68</v>
      </c>
      <c r="N428" s="58">
        <f t="shared" ca="1" si="38"/>
        <v>28.567727874877143</v>
      </c>
    </row>
    <row r="429" spans="1:14" ht="21.75" customHeight="1" x14ac:dyDescent="0.55000000000000004">
      <c r="A429" s="46"/>
      <c r="B429" s="47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กระบี่!L429+ชุมพร!L429+ตรัง!L429+นครศรีธรรมราช!L429+นราธิวาส!L429+ปัตตานี!L429+พังงา!L429+พัทลุง!L429+ภูเก็ต!L429+ยะลา!L429+ระนอง!L429+สงขลา!L429+สตูล!L429+สุราษฎร์ธานี!L429</f>
        <v>0</v>
      </c>
      <c r="M429" s="58">
        <f>กระบี่!M429+ชุมพร!M429+ตรัง!M429+นครศรีธรรมราช!M429+นราธิวาส!M429+ปัตตานี!M429+พังงา!M429+พัทลุง!M429+ภูเก็ต!M429+ยะลา!M429+ระนอง!M429+สงขลา!M429+สตูล!M429+สุราษฎร์ธานี!M429</f>
        <v>0</v>
      </c>
      <c r="N429" s="58">
        <f t="shared" ca="1" si="38"/>
        <v>0</v>
      </c>
    </row>
    <row r="430" spans="1:14" ht="21.75" customHeight="1" x14ac:dyDescent="0.55000000000000004">
      <c r="A430" s="46"/>
      <c r="B430" s="47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กระบี่!L430+ชุมพร!L430+ตรัง!L430+นครศรีธรรมราช!L430+นราธิวาส!L430+ปัตตานี!L430+พังงา!L430+พัทลุง!L430+ภูเก็ต!L430+ยะลา!L430+ระนอง!L430+สงขลา!L430+สตูล!L430+สุราษฎร์ธานี!L430</f>
        <v>468020</v>
      </c>
      <c r="M430" s="58">
        <f>กระบี่!M430+ชุมพร!M430+ตรัง!M430+นครศรีธรรมราช!M430+นราธิวาส!M430+ปัตตานี!M430+พังงา!M430+พัทลุง!M430+ภูเก็ต!M430+ยะลา!M430+ระนอง!M430+สงขลา!M430+สตูล!M430+สุราษฎร์ธานี!M430</f>
        <v>133702.68</v>
      </c>
      <c r="N430" s="58">
        <f t="shared" ca="1" si="38"/>
        <v>28.567727874877143</v>
      </c>
    </row>
    <row r="431" spans="1:14" ht="21.75" customHeight="1" x14ac:dyDescent="0.55000000000000004">
      <c r="A431" s="247"/>
      <c r="B431" s="248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f>กระบี่!M431+ชุมพร!M431+ตรัง!M431+นครศรีธรรมราช!M431+นราธิวาส!M431+ปัตตานี!M431+พังงา!M431+พัทลุง!M431+ภูเก็ต!M431+ยะลา!M431+ระนอง!M431+สงขลา!M431+สตูล!M431+สุราษฎร์ธานี!M431</f>
        <v>97893.48</v>
      </c>
      <c r="N431" s="58"/>
    </row>
    <row r="432" spans="1:14" ht="21.75" customHeight="1" x14ac:dyDescent="0.55000000000000004">
      <c r="A432" s="247"/>
      <c r="B432" s="248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f>กระบี่!M432+ชุมพร!M432+ตรัง!M432+นครศรีธรรมราช!M432+นราธิวาส!M432+ปัตตานี!M432+พังงา!M432+พัทลุง!M432+ภูเก็ต!M432+ยะลา!M432+ระนอง!M432+สงขลา!M432+สตูล!M432+สุราษฎร์ธานี!M432</f>
        <v>0</v>
      </c>
      <c r="N432" s="58"/>
    </row>
    <row r="433" spans="1:14" ht="21.75" customHeight="1" x14ac:dyDescent="0.55000000000000004">
      <c r="A433" s="247"/>
      <c r="B433" s="248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f>กระบี่!M433+ชุมพร!M433+ตรัง!M433+นครศรีธรรมราช!M433+นราธิวาส!M433+ปัตตานี!M433+พังงา!M433+พัทลุง!M433+ภูเก็ต!M433+ยะลา!M433+ระนอง!M433+สงขลา!M433+สตูล!M433+สุราษฎร์ธานี!M433</f>
        <v>0</v>
      </c>
      <c r="N433" s="58"/>
    </row>
    <row r="434" spans="1:14" ht="21.75" customHeight="1" x14ac:dyDescent="0.55000000000000004">
      <c r="A434" s="247"/>
      <c r="B434" s="248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f>กระบี่!M434+ชุมพร!M434+ตรัง!M434+นครศรีธรรมราช!M434+นราธิวาส!M434+ปัตตานี!M434+พังงา!M434+พัทลุง!M434+ภูเก็ต!M434+ยะลา!M434+ระนอง!M434+สงขลา!M434+สตูล!M434+สุราษฎร์ธานี!M434</f>
        <v>35809.199999999997</v>
      </c>
      <c r="N434" s="58"/>
    </row>
    <row r="435" spans="1:14" ht="21.75" customHeight="1" x14ac:dyDescent="0.55000000000000004">
      <c r="A435" s="60"/>
      <c r="B435" s="61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1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f>กระบี่!J436+ชุมพร!J436+ตรัง!J436+นครศรีธรรมราช!J436+นราธิวาส!J436+ปัตตานี!J436+พังงา!J436+พัทลุง!J436+ภูเก็ต!J436+ยะลา!J436+ระนอง!J436+สงขลา!J436+สตูล!J436+สุราษฎร์ธานี!J436</f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1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f>กระบี่!J437+ชุมพร!J437+ตรัง!J437+นครศรีธรรมราช!J437+นราธิวาส!J437+ปัตตานี!J437+พังงา!J437+พัทลุง!J437+ภูเก็ต!J437+ยะลา!J437+ระนอง!J437+สงขลา!J437+สตูล!J437+สุราษฎร์ธานี!J437</f>
        <v>12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1"/>
      <c r="C438" s="67"/>
      <c r="D438" s="61"/>
      <c r="E438" s="79" t="s">
        <v>28</v>
      </c>
      <c r="F438" s="80"/>
      <c r="G438" s="81"/>
      <c r="H438" s="72"/>
      <c r="I438" s="73"/>
      <c r="J438" s="74">
        <f>กระบี่!J438+ชุมพร!J438+ตรัง!J438+นครศรีธรรมราช!J438+นราธิวาส!J438+ปัตตานี!J438+พังงา!J438+พัทลุง!J438+ภูเก็ต!J438+ยะลา!J438+ระนอง!J438+สงขลา!J438+สตูล!J438+สุราษฎร์ธานี!J438</f>
        <v>11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1"/>
      <c r="C439" s="67"/>
      <c r="D439" s="61"/>
      <c r="E439" s="79" t="s">
        <v>29</v>
      </c>
      <c r="F439" s="80"/>
      <c r="G439" s="81"/>
      <c r="H439" s="72"/>
      <c r="I439" s="73"/>
      <c r="J439" s="74">
        <f>กระบี่!J439+ชุมพร!J439+ตรัง!J439+นครศรีธรรมราช!J439+นราธิวาส!J439+ปัตตานี!J439+พังงา!J439+พัทลุง!J439+ภูเก็ต!J439+ยะลา!J439+ระนอง!J439+สงขลา!J439+สตูล!J439+สุราษฎร์ธานี!J439</f>
        <v>8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1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กระบี่!I440+ชุมพร!I440+ตรัง!I440+นครศรีธรรมราช!I440+นราธิวาส!I440+ปัตตานี!I440+พังงา!I440+พัทลุง!I440+ภูเก็ต!I440+ยะลา!I440+ระนอง!I440+สงขลา!I440+สตูล!I440+สุราษฎร์ธานี!I440</f>
        <v>293</v>
      </c>
      <c r="J440" s="74">
        <f>กระบี่!J440+ชุมพร!J440+ตรัง!J440+นครศรีธรรมราช!J440+นราธิวาส!J440+ปัตตานี!J440+พังงา!J440+พัทลุง!J440+ภูเก็ต!J440+ยะลา!J440+ระนอง!J440+สงขลา!J440+สตูล!J440+สุราษฎร์ธานี!J440</f>
        <v>78</v>
      </c>
      <c r="K440" s="54">
        <f t="shared" ref="K440:K441" ca="1" si="39">IF(I440&gt;0,J440*100/I440,0)</f>
        <v>26.621160409556314</v>
      </c>
      <c r="L440" s="66"/>
      <c r="M440" s="66"/>
      <c r="N440" s="66"/>
    </row>
    <row r="441" spans="1:14" ht="21.75" hidden="1" customHeight="1" x14ac:dyDescent="0.55000000000000004">
      <c r="A441" s="60"/>
      <c r="B441" s="61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กระบี่!I441+ชุมพร!I441+ตรัง!I441+นครศรีธรรมราช!I441+นราธิวาส!I441+ปัตตานี!I441+พังงา!I441+พัทลุง!I441+ภูเก็ต!I441+ยะลา!I441+ระนอง!I441+สงขลา!I441+สตูล!I441+สุราษฎร์ธานี!I441</f>
        <v>293</v>
      </c>
      <c r="J441" s="74">
        <f>กระบี่!J441+ชุมพร!J441+ตรัง!J441+นครศรีธรรมราช!J441+นราธิวาส!J441+ปัตตานี!J441+พังงา!J441+พัทลุง!J441+ภูเก็ต!J441+ยะลา!J441+ระนอง!J441+สงขลา!J441+สตูล!J441+สุราษฎร์ธานี!J441</f>
        <v>0</v>
      </c>
      <c r="K441" s="54">
        <f t="shared" ca="1" si="39"/>
        <v>0</v>
      </c>
      <c r="L441" s="66"/>
      <c r="M441" s="66"/>
      <c r="N441" s="66"/>
    </row>
    <row r="442" spans="1:14" ht="21.75" customHeight="1" x14ac:dyDescent="0.55000000000000004">
      <c r="A442" s="60"/>
      <c r="B442" s="61"/>
      <c r="C442" s="67"/>
      <c r="D442" s="61"/>
      <c r="E442" s="79" t="s">
        <v>35</v>
      </c>
      <c r="F442" s="80"/>
      <c r="G442" s="81"/>
      <c r="H442" s="72"/>
      <c r="I442" s="73"/>
      <c r="J442" s="74">
        <f>กระบี่!J442+ชุมพร!J442+ตรัง!J442+นครศรีธรรมราช!J442+นราธิวาส!J442+ปัตตานี!J442+พังงา!J442+พัทลุง!J442+ภูเก็ต!J442+ยะลา!J442+ระนอง!J442+สงขลา!J442+สตูล!J442+สุราษฎร์ธานี!J442</f>
        <v>1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2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f>กระบี่!J443+ชุมพร!J443+ตรัง!J443+นครศรีธรรมราช!J443+นราธิวาส!J443+ปัตตานี!J443+พังงา!J443+พัทลุง!J443+ภูเก็ต!J443+ยะลา!J443+ระนอง!J443+สงขลา!J443+สตูล!J443+สุราษฎร์ธานี!J443</f>
        <v>1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0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ca="1">กระบี่!I444+ชุมพร!I444+ตรัง!I444+นครศรีธรรมราช!I444+นราธิวาส!I444+ปัตตานี!I444+พังงา!I444+พัทลุง!I444+ภูเก็ต!I444+ยะลา!I444+ระนอง!I444+สงขลา!I444+สตูล!I444+สุราษฎร์ธานี!I444</f>
        <v>0</v>
      </c>
      <c r="J444" s="275">
        <f>กระบี่!J444+ชุมพร!J444+ตรัง!J444+นครศรีธรรมราช!J444+นราธิวาส!J444+ปัตตานี!J444+พังงา!J444+พัทลุง!J444+ภูเก็ต!J444+ยะลา!J444+ระนอง!J444+สงขลา!J444+สตูล!J444+สุราษฎร์ธานี!J444</f>
        <v>0</v>
      </c>
      <c r="K444" s="276">
        <f ca="1">IF(I444&gt;0,J444*100/I444,0)</f>
        <v>0</v>
      </c>
      <c r="L444" s="277">
        <f ca="1">กระบี่!L444+ชุมพร!L444+ตรัง!L444+นครศรีธรรมราช!L444+นราธิวาส!L444+ปัตตานี!L444+พังงา!L444+พัทลุง!L444+ภูเก็ต!L444+ยะลา!L444+ระนอง!L444+สงขลา!L444+สตูล!L444+สุราษฎร์ธานี!L444</f>
        <v>0</v>
      </c>
      <c r="M444" s="277">
        <f>กระบี่!M444+ชุมพร!M444+ตรัง!M444+นครศรีธรรมราช!M444+นราธิวาส!M444+ปัตตานี!M444+พังงา!M444+พัทลุง!M444+ภูเก็ต!M444+ยะลา!M444+ระนอง!M444+สงขลา!M444+สตูล!M444+สุราษฎร์ธานี!M444</f>
        <v>0</v>
      </c>
      <c r="N444" s="277">
        <f t="shared" ref="N444:N448" ca="1" si="40">+IF(L444&gt;0,M444*100/L444,0)</f>
        <v>0</v>
      </c>
    </row>
    <row r="445" spans="1:14" ht="21.75" customHeight="1" x14ac:dyDescent="0.55000000000000004">
      <c r="A445" s="46"/>
      <c r="B445" s="47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53" t="s">
        <v>21</v>
      </c>
      <c r="J445" s="53"/>
      <c r="K445" s="54"/>
      <c r="L445" s="55">
        <f>กระบี่!L445+ชุมพร!L445+ตรัง!L445+นครศรีธรรมราช!L445+นราธิวาส!L445+ปัตตานี!L445+พังงา!L445+พัทลุง!L445+ภูเก็ต!L445+ยะลา!L445+ระนอง!L445+สงขลา!L445+สตูล!L445+สุราษฎร์ธานี!L445</f>
        <v>0</v>
      </c>
      <c r="M445" s="58">
        <f>กระบี่!M445+ชุมพร!M445+ตรัง!M445+นครศรีธรรมราช!M445+นราธิวาส!M445+ปัตตานี!M445+พังงา!M445+พัทลุง!M445+ภูเก็ต!M445+ยะลา!M445+ระนอง!M445+สงขลา!M445+สตูล!M445+สุราษฎร์ธานี!M445</f>
        <v>0</v>
      </c>
      <c r="N445" s="58">
        <f t="shared" si="40"/>
        <v>0</v>
      </c>
    </row>
    <row r="446" spans="1:14" ht="21.75" customHeight="1" x14ac:dyDescent="0.55000000000000004">
      <c r="A446" s="46"/>
      <c r="B446" s="47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53"/>
      <c r="J446" s="53"/>
      <c r="K446" s="54"/>
      <c r="L446" s="55">
        <f ca="1">กระบี่!L446+ชุมพร!L446+ตรัง!L446+นครศรีธรรมราช!L446+นราธิวาส!L446+ปัตตานี!L446+พังงา!L446+พัทลุง!L446+ภูเก็ต!L446+ยะลา!L446+ระนอง!L446+สงขลา!L446+สตูล!L446+สุราษฎร์ธานี!L446</f>
        <v>0</v>
      </c>
      <c r="M446" s="58">
        <f>กระบี่!M446+ชุมพร!M446+ตรัง!M446+นครศรีธรรมราช!M446+นราธิวาส!M446+ปัตตานี!M446+พังงา!M446+พัทลุง!M446+ภูเก็ต!M446+ยะลา!M446+ระนอง!M446+สงขลา!M446+สตูล!M446+สุราษฎร์ธานี!M446</f>
        <v>0</v>
      </c>
      <c r="N446" s="58">
        <f t="shared" ca="1" si="40"/>
        <v>0</v>
      </c>
    </row>
    <row r="447" spans="1:14" ht="21.75" customHeight="1" x14ac:dyDescent="0.55000000000000004">
      <c r="A447" s="46"/>
      <c r="B447" s="47"/>
      <c r="C447" s="48"/>
      <c r="D447" s="56"/>
      <c r="E447" s="50"/>
      <c r="F447" s="50"/>
      <c r="G447" s="57" t="s">
        <v>110</v>
      </c>
      <c r="H447" s="52" t="s">
        <v>20</v>
      </c>
      <c r="I447" s="53"/>
      <c r="J447" s="53"/>
      <c r="K447" s="54"/>
      <c r="L447" s="58">
        <f ca="1">กระบี่!L447+ชุมพร!L447+ตรัง!L447+นครศรีธรรมราช!L447+นราธิวาส!L447+ปัตตานี!L447+พังงา!L447+พัทลุง!L447+ภูเก็ต!L447+ยะลา!L447+ระนอง!L447+สงขลา!L447+สตูล!L447+สุราษฎร์ธานี!L447</f>
        <v>0</v>
      </c>
      <c r="M447" s="58">
        <f>กระบี่!M447+ชุมพร!M447+ตรัง!M447+นครศรีธรรมราช!M447+นราธิวาส!M447+ปัตตานี!M447+พังงา!M447+พัทลุง!M447+ภูเก็ต!M447+ยะลา!M447+ระนอง!M447+สงขลา!M447+สตูล!M447+สุราษฎร์ธานี!M447</f>
        <v>0</v>
      </c>
      <c r="N447" s="58">
        <f t="shared" ca="1" si="40"/>
        <v>0</v>
      </c>
    </row>
    <row r="448" spans="1:14" ht="21.75" customHeight="1" x14ac:dyDescent="0.55000000000000004">
      <c r="A448" s="46"/>
      <c r="B448" s="47"/>
      <c r="C448" s="48"/>
      <c r="D448" s="56"/>
      <c r="E448" s="50"/>
      <c r="F448" s="50"/>
      <c r="G448" s="57" t="s">
        <v>111</v>
      </c>
      <c r="H448" s="52" t="s">
        <v>20</v>
      </c>
      <c r="I448" s="53"/>
      <c r="J448" s="53"/>
      <c r="K448" s="54"/>
      <c r="L448" s="58">
        <f ca="1">กระบี่!L448+ชุมพร!L448+ตรัง!L448+นครศรีธรรมราช!L448+นราธิวาส!L448+ปัตตานี!L448+พังงา!L448+พัทลุง!L448+ภูเก็ต!L448+ยะลา!L448+ระนอง!L448+สงขลา!L448+สตูล!L448+สุราษฎร์ธานี!L448</f>
        <v>0</v>
      </c>
      <c r="M448" s="58">
        <f>กระบี่!M448+ชุมพร!M448+ตรัง!M448+นครศรีธรรมราช!M448+นราธิวาส!M448+ปัตตานี!M448+พังงา!M448+พัทลุง!M448+ภูเก็ต!M448+ยะลา!M448+ระนอง!M448+สงขลา!M448+สตูล!M448+สุราษฎร์ธานี!M448</f>
        <v>0</v>
      </c>
      <c r="N448" s="58">
        <f t="shared" ca="1" si="40"/>
        <v>0</v>
      </c>
    </row>
    <row r="449" spans="1:14" ht="21.75" customHeight="1" x14ac:dyDescent="0.55000000000000004">
      <c r="A449" s="247"/>
      <c r="B449" s="248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9">
        <f>กระบี่!M449+ชุมพร!M449+ตรัง!M449+นครศรีธรรมราช!M449+นราธิวาส!M449+ปัตตานี!M449+พังงา!M449+พัทลุง!M449+ภูเก็ต!M449+ยะลา!M449+ระนอง!M449+สงขลา!M449+สตูล!M449+สุราษฎร์ธานี!M449</f>
        <v>0</v>
      </c>
      <c r="N449" s="58"/>
    </row>
    <row r="450" spans="1:14" ht="21.75" customHeight="1" x14ac:dyDescent="0.55000000000000004">
      <c r="A450" s="247"/>
      <c r="B450" s="248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9">
        <f>กระบี่!M450+ชุมพร!M450+ตรัง!M450+นครศรีธรรมราช!M450+นราธิวาส!M450+ปัตตานี!M450+พังงา!M450+พัทลุง!M450+ภูเก็ต!M450+ยะลา!M450+ระนอง!M450+สงขลา!M450+สตูล!M450+สุราษฎร์ธานี!M450</f>
        <v>0</v>
      </c>
      <c r="N450" s="58"/>
    </row>
    <row r="451" spans="1:14" ht="21.75" customHeight="1" x14ac:dyDescent="0.55000000000000004">
      <c r="A451" s="247"/>
      <c r="B451" s="248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9">
        <f>กระบี่!M451+ชุมพร!M451+ตรัง!M451+นครศรีธรรมราช!M451+นราธิวาส!M451+ปัตตานี!M451+พังงา!M451+พัทลุง!M451+ภูเก็ต!M451+ยะลา!M451+ระนอง!M451+สงขลา!M451+สตูล!M451+สุราษฎร์ธานี!M451</f>
        <v>0</v>
      </c>
      <c r="N451" s="58"/>
    </row>
    <row r="452" spans="1:14" ht="21.75" customHeight="1" x14ac:dyDescent="0.55000000000000004">
      <c r="A452" s="247"/>
      <c r="B452" s="248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9">
        <f>กระบี่!M452+ชุมพร!M452+ตรัง!M452+นครศรีธรรมราช!M452+นราธิวาส!M452+ปัตตานี!M452+พังงา!M452+พัทลุง!M452+ภูเก็ต!M452+ยะลา!M452+ระนอง!M452+สงขลา!M452+สตูล!M452+สุราษฎร์ธานี!M452</f>
        <v>0</v>
      </c>
      <c r="N452" s="58"/>
    </row>
    <row r="453" spans="1:14" ht="21.75" customHeight="1" x14ac:dyDescent="0.55000000000000004">
      <c r="A453" s="247"/>
      <c r="B453" s="248"/>
      <c r="C453" s="329"/>
      <c r="D453" s="248"/>
      <c r="E453" s="330"/>
      <c r="F453" s="330" t="s">
        <v>186</v>
      </c>
      <c r="G453" s="331"/>
      <c r="H453" s="332" t="s">
        <v>103</v>
      </c>
      <c r="I453" s="73">
        <f ca="1">กระบี่!I453+ชุมพร!I453+ตรัง!I453+นครศรีธรรมราช!I453+นราธิวาส!I453+ปัตตานี!I453+พังงา!I453+พัทลุง!I453+ภูเก็ต!I453+ยะลา!I453+ระนอง!I453+สงขลา!I453+สตูล!I453+สุราษฎร์ธานี!I453</f>
        <v>0</v>
      </c>
      <c r="J453" s="73">
        <f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250">
        <f ca="1">IF(I453&gt;0,J453*100/I453,0)</f>
        <v>0</v>
      </c>
      <c r="L453" s="58"/>
      <c r="M453" s="58"/>
      <c r="N453" s="58"/>
    </row>
    <row r="454" spans="1:14" ht="21.75" customHeight="1" x14ac:dyDescent="0.55000000000000004">
      <c r="A454" s="247"/>
      <c r="B454" s="248"/>
      <c r="C454" s="329"/>
      <c r="D454" s="248"/>
      <c r="E454" s="330"/>
      <c r="F454" s="330"/>
      <c r="G454" s="331"/>
      <c r="H454" s="332" t="s">
        <v>15</v>
      </c>
      <c r="I454" s="73">
        <f ca="1">กระบี่!I454+ชุมพร!I454+ตรัง!I454+นครศรีธรรมราช!I454+นราธิวาส!I454+ปัตตานี!I454+พังงา!I454+พัทลุง!I454+ภูเก็ต!I454+ยะลา!I454+ระนอง!I454+สงขลา!I454+สตูล!I454+สุราษฎร์ธานี!I454</f>
        <v>0</v>
      </c>
      <c r="J454" s="73">
        <f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250"/>
      <c r="L454" s="58"/>
      <c r="M454" s="58"/>
      <c r="N454" s="58"/>
    </row>
    <row r="455" spans="1:14" ht="21.75" customHeight="1" x14ac:dyDescent="0.55000000000000004">
      <c r="A455" s="247"/>
      <c r="B455" s="248"/>
      <c r="C455" s="329"/>
      <c r="D455" s="248"/>
      <c r="E455" s="330"/>
      <c r="F455" s="330" t="s">
        <v>187</v>
      </c>
      <c r="G455" s="331"/>
      <c r="H455" s="332" t="s">
        <v>103</v>
      </c>
      <c r="I455" s="73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0</v>
      </c>
      <c r="J455" s="73">
        <f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0</v>
      </c>
      <c r="K455" s="250">
        <f ca="1">IF(I455&gt;0,J455*100/I455,0)</f>
        <v>0</v>
      </c>
      <c r="L455" s="58"/>
      <c r="M455" s="58"/>
      <c r="N455" s="58"/>
    </row>
    <row r="456" spans="1:14" ht="21.75" customHeight="1" x14ac:dyDescent="0.55000000000000004">
      <c r="A456" s="247"/>
      <c r="B456" s="248"/>
      <c r="C456" s="329"/>
      <c r="D456" s="248"/>
      <c r="E456" s="330"/>
      <c r="F456" s="330"/>
      <c r="G456" s="331"/>
      <c r="H456" s="332" t="s">
        <v>15</v>
      </c>
      <c r="I456" s="73">
        <f ca="1">กระบี่!I456+ชุมพร!I456+ตรัง!I456+นครศรีธรรมราช!I456+นราธิวาส!I456+ปัตตานี!I456+พังงา!I456+พัทลุง!I456+ภูเก็ต!I456+ยะลา!I456+ระนอง!I456+สงขลา!I456+สตูล!I456+สุราษฎร์ธานี!I456</f>
        <v>0</v>
      </c>
      <c r="J456" s="73">
        <f>กระบี่!J456+ชุมพร!J456+ตรัง!J456+นครศรีธรรมราช!J456+นราธิวาส!J456+ปัตตานี!J456+พังงา!J456+พัทลุง!J456+ภูเก็ต!J456+ยะลา!J456+ระนอง!J456+สงขลา!J456+สตูล!J456+สุราษฎร์ธานี!J456</f>
        <v>0</v>
      </c>
      <c r="K456" s="250"/>
      <c r="L456" s="58"/>
      <c r="M456" s="58"/>
      <c r="N456" s="58"/>
    </row>
    <row r="457" spans="1:14" ht="21.75" customHeight="1" x14ac:dyDescent="0.55000000000000004">
      <c r="A457" s="239"/>
      <c r="B457" s="240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กระบี่!I457+ชุมพร!I457+ตรัง!I457+นครศรีธรรมราช!I457+นราธิวาส!I457+ปัตตานี!I457+พังงา!I457+พัทลุง!I457+ภูเก็ต!I457+ยะลา!I457+ระนอง!I457+สงขลา!I457+สตูล!I457+สุราษฎร์ธานี!I457</f>
        <v>12200</v>
      </c>
      <c r="J457" s="244">
        <f>กระบี่!J457+ชุมพร!J457+ตรัง!J457+นครศรีธรรมราช!J457+นราธิวาส!J457+ปัตตานี!J457+พังงา!J457+พัทลุง!J457+ภูเก็ต!J457+ยะลา!J457+ระนอง!J457+สงขลา!J457+สตูล!J457+สุราษฎร์ธานี!J457</f>
        <v>3345</v>
      </c>
      <c r="K457" s="245">
        <f ca="1">IF(I457&gt;0,J457*100/I457,0)</f>
        <v>27.418032786885245</v>
      </c>
      <c r="L457" s="246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1798960</v>
      </c>
      <c r="M457" s="246">
        <f>กระบี่!M457+ชุมพร!M457+ตรัง!M457+นครศรีธรรมราช!M457+นราธิวาส!M457+ปัตตานี!M457+พังงา!M457+พัทลุง!M457+ภูเก็ต!M457+ยะลา!M457+ระนอง!M457+สงขลา!M457+สตูล!M457+สุราษฎร์ธานี!M457</f>
        <v>100314.98000000001</v>
      </c>
      <c r="N457" s="246">
        <f t="shared" ref="N457:N461" ca="1" si="41">+IF(L457&gt;0,M457*100/L457,0)</f>
        <v>5.576276292969272</v>
      </c>
    </row>
    <row r="458" spans="1:14" ht="21.75" customHeight="1" x14ac:dyDescent="0.55000000000000004">
      <c r="A458" s="46"/>
      <c r="B458" s="47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f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58">
        <f>กระบี่!M458+ชุมพร!M458+ตรัง!M458+นครศรีธรรมราช!M458+นราธิวาส!M458+ปัตตานี!M458+พังงา!M458+พัทลุง!M458+ภูเก็ต!M458+ยะลา!M458+ระนอง!M458+สงขลา!M458+สตูล!M458+สุราษฎร์ธานี!M458</f>
        <v>0</v>
      </c>
      <c r="N458" s="58">
        <f t="shared" si="41"/>
        <v>0</v>
      </c>
    </row>
    <row r="459" spans="1:14" ht="21.75" customHeight="1" x14ac:dyDescent="0.55000000000000004">
      <c r="A459" s="46"/>
      <c r="B459" s="47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1798960</v>
      </c>
      <c r="M459" s="58">
        <f>กระบี่!M459+ชุมพร!M459+ตรัง!M459+นครศรีธรรมราช!M459+นราธิวาส!M459+ปัตตานี!M459+พังงา!M459+พัทลุง!M459+ภูเก็ต!M459+ยะลา!M459+ระนอง!M459+สงขลา!M459+สตูล!M459+สุราษฎร์ธานี!M459</f>
        <v>100314.98000000001</v>
      </c>
      <c r="N459" s="58">
        <f t="shared" ca="1" si="41"/>
        <v>5.576276292969272</v>
      </c>
    </row>
    <row r="460" spans="1:14" ht="21.75" customHeight="1" x14ac:dyDescent="0.55000000000000004">
      <c r="A460" s="46"/>
      <c r="B460" s="47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กระบี่!L460+ชุมพร!L460+ตรัง!L460+นครศรีธรรมราช!L460+นราธิวาส!L460+ปัตตานี!L460+พังงา!L460+พัทลุง!L460+ภูเก็ต!L460+ยะลา!L460+ระนอง!L460+สงขลา!L460+สตูล!L460+สุราษฎร์ธานี!L460</f>
        <v>0</v>
      </c>
      <c r="M460" s="58">
        <f>กระบี่!M460+ชุมพร!M460+ตรัง!M460+นครศรีธรรมราช!M460+นราธิวาส!M460+ปัตตานี!M460+พังงา!M460+พัทลุง!M460+ภูเก็ต!M460+ยะลา!M460+ระนอง!M460+สงขลา!M460+สตูล!M460+สุราษฎร์ธานี!M460</f>
        <v>0</v>
      </c>
      <c r="N460" s="58">
        <f t="shared" ca="1" si="41"/>
        <v>0</v>
      </c>
    </row>
    <row r="461" spans="1:14" ht="21.75" customHeight="1" x14ac:dyDescent="0.55000000000000004">
      <c r="A461" s="46"/>
      <c r="B461" s="47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กระบี่!L461+ชุมพร!L461+ตรัง!L461+นครศรีธรรมราช!L461+นราธิวาส!L461+ปัตตานี!L461+พังงา!L461+พัทลุง!L461+ภูเก็ต!L461+ยะลา!L461+ระนอง!L461+สงขลา!L461+สตูล!L461+สุราษฎร์ธานี!L461</f>
        <v>1798960</v>
      </c>
      <c r="M461" s="58">
        <f>กระบี่!M461+ชุมพร!M461+ตรัง!M461+นครศรีธรรมราช!M461+นราธิวาส!M461+ปัตตานี!M461+พังงา!M461+พัทลุง!M461+ภูเก็ต!M461+ยะลา!M461+ระนอง!M461+สงขลา!M461+สตูล!M461+สุราษฎร์ธานี!M461</f>
        <v>100314.98000000001</v>
      </c>
      <c r="N461" s="58">
        <f t="shared" ca="1" si="41"/>
        <v>5.576276292969272</v>
      </c>
    </row>
    <row r="462" spans="1:14" ht="21.75" customHeight="1" x14ac:dyDescent="0.55000000000000004">
      <c r="A462" s="247"/>
      <c r="B462" s="248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f>กระบี่!M462+ชุมพร!M462+ตรัง!M462+นครศรีธรรมราช!M462+นราธิวาส!M462+ปัตตานี!M462+พังงา!M462+พัทลุง!M462+ภูเก็ต!M462+ยะลา!M462+ระนอง!M462+สงขลา!M462+สตูล!M462+สุราษฎร์ธานี!M462</f>
        <v>0</v>
      </c>
      <c r="N462" s="58"/>
    </row>
    <row r="463" spans="1:14" ht="21.75" customHeight="1" x14ac:dyDescent="0.55000000000000004">
      <c r="A463" s="247"/>
      <c r="B463" s="248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f>กระบี่!M463+ชุมพร!M463+ตรัง!M463+นครศรีธรรมราช!M463+นราธิวาส!M463+ปัตตานี!M463+พังงา!M463+พัทลุง!M463+ภูเก็ต!M463+ยะลา!M463+ระนอง!M463+สงขลา!M463+สตูล!M463+สุราษฎร์ธานี!M463</f>
        <v>0</v>
      </c>
      <c r="N463" s="58"/>
    </row>
    <row r="464" spans="1:14" ht="21.75" customHeight="1" x14ac:dyDescent="0.55000000000000004">
      <c r="A464" s="247"/>
      <c r="B464" s="248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f>กระบี่!M464+ชุมพร!M464+ตรัง!M464+นครศรีธรรมราช!M464+นราธิวาส!M464+ปัตตานี!M464+พังงา!M464+พัทลุง!M464+ภูเก็ต!M464+ยะลา!M464+ระนอง!M464+สงขลา!M464+สตูล!M464+สุราษฎร์ธานี!M464</f>
        <v>87734.98000000001</v>
      </c>
      <c r="N464" s="58"/>
    </row>
    <row r="465" spans="1:14" ht="21.75" customHeight="1" x14ac:dyDescent="0.55000000000000004">
      <c r="A465" s="247"/>
      <c r="B465" s="248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f>กระบี่!M465+ชุมพร!M465+ตรัง!M465+นครศรีธรรมราช!M465+นราธิวาส!M465+ปัตตานี!M465+พังงา!M465+พัทลุง!M465+ภูเก็ต!M465+ยะลา!M465+ระนอง!M465+สงขลา!M465+สตูล!M465+สุราษฎร์ธานี!M465</f>
        <v>12580</v>
      </c>
      <c r="N465" s="58"/>
    </row>
    <row r="466" spans="1:14" ht="21.75" customHeight="1" x14ac:dyDescent="0.55000000000000004">
      <c r="A466" s="60"/>
      <c r="B466" s="61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12200</v>
      </c>
      <c r="J466" s="283">
        <f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3345</v>
      </c>
      <c r="K466" s="85">
        <f ca="1">IF(I466&gt;0,J466*100/I466,0)</f>
        <v>27.418032786885245</v>
      </c>
      <c r="L466" s="66"/>
      <c r="M466" s="66"/>
      <c r="N466" s="66"/>
    </row>
    <row r="467" spans="1:14" ht="21.75" customHeight="1" x14ac:dyDescent="0.55000000000000004">
      <c r="A467" s="60"/>
      <c r="B467" s="61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1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f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74">
        <f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13</v>
      </c>
      <c r="K468" s="54">
        <f t="shared" ref="K468:K472" si="42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1"/>
      <c r="C469" s="67"/>
      <c r="D469" s="80"/>
      <c r="E469" s="80"/>
      <c r="F469" s="79" t="s">
        <v>192</v>
      </c>
      <c r="G469" s="81"/>
      <c r="H469" s="334" t="s">
        <v>16</v>
      </c>
      <c r="I469" s="53">
        <f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74">
        <f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235</v>
      </c>
      <c r="K469" s="54">
        <f t="shared" si="42"/>
        <v>0</v>
      </c>
      <c r="L469" s="66"/>
      <c r="M469" s="66"/>
      <c r="N469" s="66"/>
    </row>
    <row r="470" spans="1:14" ht="21.75" customHeight="1" x14ac:dyDescent="0.55000000000000004">
      <c r="A470" s="60"/>
      <c r="B470" s="61"/>
      <c r="C470" s="67"/>
      <c r="D470" s="80"/>
      <c r="E470" s="80"/>
      <c r="F470" s="79" t="s">
        <v>193</v>
      </c>
      <c r="G470" s="81"/>
      <c r="H470" s="334" t="s">
        <v>16</v>
      </c>
      <c r="I470" s="53">
        <f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74">
        <f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3078</v>
      </c>
      <c r="K470" s="54">
        <f t="shared" si="42"/>
        <v>0</v>
      </c>
      <c r="L470" s="66"/>
      <c r="M470" s="66"/>
      <c r="N470" s="66"/>
    </row>
    <row r="471" spans="1:14" ht="21.75" customHeight="1" x14ac:dyDescent="0.55000000000000004">
      <c r="A471" s="60"/>
      <c r="B471" s="61"/>
      <c r="C471" s="67"/>
      <c r="D471" s="80"/>
      <c r="E471" s="80"/>
      <c r="F471" s="79" t="s">
        <v>194</v>
      </c>
      <c r="G471" s="284"/>
      <c r="H471" s="334" t="s">
        <v>16</v>
      </c>
      <c r="I471" s="53">
        <f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74">
        <f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1</v>
      </c>
      <c r="K471" s="54">
        <f t="shared" si="42"/>
        <v>0</v>
      </c>
      <c r="L471" s="66"/>
      <c r="M471" s="66"/>
      <c r="N471" s="66"/>
    </row>
    <row r="472" spans="1:14" ht="21.75" customHeight="1" x14ac:dyDescent="0.55000000000000004">
      <c r="A472" s="60"/>
      <c r="B472" s="61"/>
      <c r="C472" s="67"/>
      <c r="D472" s="80"/>
      <c r="E472" s="80"/>
      <c r="F472" s="79" t="s">
        <v>195</v>
      </c>
      <c r="G472" s="284"/>
      <c r="H472" s="334" t="s">
        <v>16</v>
      </c>
      <c r="I472" s="53">
        <f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74">
        <f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31</v>
      </c>
      <c r="K472" s="54">
        <f t="shared" si="42"/>
        <v>0</v>
      </c>
      <c r="L472" s="66"/>
      <c r="M472" s="66"/>
      <c r="N472" s="66"/>
    </row>
    <row r="473" spans="1:14" ht="21.75" customHeight="1" x14ac:dyDescent="0.55000000000000004">
      <c r="A473" s="239"/>
      <c r="B473" s="240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292</v>
      </c>
      <c r="J473" s="244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0</v>
      </c>
      <c r="K473" s="245">
        <f ca="1">IF(I473&gt;0,J473*100/I473,0)</f>
        <v>0</v>
      </c>
      <c r="L473" s="246">
        <f ca="1">กระบี่!L473+ชุมพร!L473+ตรัง!L473+นครศรีธรรมราช!L473+นราธิวาส!L473+ปัตตานี!L473+พังงา!L473+พัทลุง!L473+ภูเก็ต!L473+ยะลา!L473+ระนอง!L473+สงขลา!L473+สตูล!L473+สุราษฎร์ธานี!L473</f>
        <v>667592</v>
      </c>
      <c r="M473" s="246">
        <f>กระบี่!M473+ชุมพร!M473+ตรัง!M473+นครศรีธรรมราช!M473+นราธิวาส!M473+ปัตตานี!M473+พังงา!M473+พัทลุง!M473+ภูเก็ต!M473+ยะลา!M473+ระนอง!M473+สงขลา!M473+สตูล!M473+สุราษฎร์ธานี!M473</f>
        <v>9935</v>
      </c>
      <c r="N473" s="246">
        <f t="shared" ref="N473:N477" ca="1" si="43">+IF(L473&gt;0,M473*100/L473,0)</f>
        <v>1.4881844000527269</v>
      </c>
    </row>
    <row r="474" spans="1:14" ht="21.75" customHeight="1" x14ac:dyDescent="0.55000000000000004">
      <c r="A474" s="46"/>
      <c r="B474" s="47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53" t="s">
        <v>21</v>
      </c>
      <c r="J474" s="53"/>
      <c r="K474" s="54"/>
      <c r="L474" s="55">
        <f>กระบี่!L474+ชุมพร!L474+ตรัง!L474+นครศรีธรรมราช!L474+นราธิวาส!L474+ปัตตานี!L474+พังงา!L474+พัทลุง!L474+ภูเก็ต!L474+ยะลา!L474+ระนอง!L474+สงขลา!L474+สตูล!L474+สุราษฎร์ธานี!L474</f>
        <v>0</v>
      </c>
      <c r="M474" s="58">
        <f>กระบี่!M474+ชุมพร!M474+ตรัง!M474+นครศรีธรรมราช!M474+นราธิวาส!M474+ปัตตานี!M474+พังงา!M474+พัทลุง!M474+ภูเก็ต!M474+ยะลา!M474+ระนอง!M474+สงขลา!M474+สตูล!M474+สุราษฎร์ธานี!M474</f>
        <v>0</v>
      </c>
      <c r="N474" s="58">
        <f t="shared" si="43"/>
        <v>0</v>
      </c>
    </row>
    <row r="475" spans="1:14" ht="21.75" customHeight="1" x14ac:dyDescent="0.55000000000000004">
      <c r="A475" s="46"/>
      <c r="B475" s="47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53"/>
      <c r="J475" s="53"/>
      <c r="K475" s="54"/>
      <c r="L475" s="55">
        <f ca="1">กระบี่!L475+ชุมพร!L475+ตรัง!L475+นครศรีธรรมราช!L475+นราธิวาส!L475+ปัตตานี!L475+พังงา!L475+พัทลุง!L475+ภูเก็ต!L475+ยะลา!L475+ระนอง!L475+สงขลา!L475+สตูล!L475+สุราษฎร์ธานี!L475</f>
        <v>667592</v>
      </c>
      <c r="M475" s="58">
        <f>กระบี่!M475+ชุมพร!M475+ตรัง!M475+นครศรีธรรมราช!M475+นราธิวาส!M475+ปัตตานี!M475+พังงา!M475+พัทลุง!M475+ภูเก็ต!M475+ยะลา!M475+ระนอง!M475+สงขลา!M475+สตูล!M475+สุราษฎร์ธานี!M475</f>
        <v>9935</v>
      </c>
      <c r="N475" s="58">
        <f t="shared" ca="1" si="43"/>
        <v>1.4881844000527269</v>
      </c>
    </row>
    <row r="476" spans="1:14" ht="21.75" customHeight="1" x14ac:dyDescent="0.55000000000000004">
      <c r="A476" s="46"/>
      <c r="B476" s="47"/>
      <c r="C476" s="48"/>
      <c r="D476" s="56"/>
      <c r="E476" s="50"/>
      <c r="F476" s="50"/>
      <c r="G476" s="57" t="s">
        <v>110</v>
      </c>
      <c r="H476" s="52" t="s">
        <v>20</v>
      </c>
      <c r="I476" s="53"/>
      <c r="J476" s="53"/>
      <c r="K476" s="54"/>
      <c r="L476" s="58">
        <f ca="1">กระบี่!L476+ชุมพร!L476+ตรัง!L476+นครศรีธรรมราช!L476+นราธิวาส!L476+ปัตตานี!L476+พังงา!L476+พัทลุง!L476+ภูเก็ต!L476+ยะลา!L476+ระนอง!L476+สงขลา!L476+สตูล!L476+สุราษฎร์ธานี!L476</f>
        <v>0</v>
      </c>
      <c r="M476" s="58">
        <f>กระบี่!M476+ชุมพร!M476+ตรัง!M476+นครศรีธรรมราช!M476+นราธิวาส!M476+ปัตตานี!M476+พังงา!M476+พัทลุง!M476+ภูเก็ต!M476+ยะลา!M476+ระนอง!M476+สงขลา!M476+สตูล!M476+สุราษฎร์ธานี!M476</f>
        <v>0</v>
      </c>
      <c r="N476" s="58">
        <f t="shared" ca="1" si="43"/>
        <v>0</v>
      </c>
    </row>
    <row r="477" spans="1:14" ht="21.75" customHeight="1" x14ac:dyDescent="0.55000000000000004">
      <c r="A477" s="46"/>
      <c r="B477" s="47"/>
      <c r="C477" s="48"/>
      <c r="D477" s="56"/>
      <c r="E477" s="50"/>
      <c r="F477" s="50"/>
      <c r="G477" s="57" t="s">
        <v>111</v>
      </c>
      <c r="H477" s="52" t="s">
        <v>20</v>
      </c>
      <c r="I477" s="53"/>
      <c r="J477" s="53"/>
      <c r="K477" s="54"/>
      <c r="L477" s="58">
        <f ca="1">กระบี่!L477+ชุมพร!L477+ตรัง!L477+นครศรีธรรมราช!L477+นราธิวาส!L477+ปัตตานี!L477+พังงา!L477+พัทลุง!L477+ภูเก็ต!L477+ยะลา!L477+ระนอง!L477+สงขลา!L477+สตูล!L477+สุราษฎร์ธานี!L477</f>
        <v>667592</v>
      </c>
      <c r="M477" s="58">
        <f>กระบี่!M477+ชุมพร!M477+ตรัง!M477+นครศรีธรรมราช!M477+นราธิวาส!M477+ปัตตานี!M477+พังงา!M477+พัทลุง!M477+ภูเก็ต!M477+ยะลา!M477+ระนอง!M477+สงขลา!M477+สตูล!M477+สุราษฎร์ธานี!M477</f>
        <v>9935</v>
      </c>
      <c r="N477" s="58">
        <f t="shared" ca="1" si="43"/>
        <v>1.4881844000527269</v>
      </c>
    </row>
    <row r="478" spans="1:14" ht="21.75" customHeight="1" x14ac:dyDescent="0.55000000000000004">
      <c r="A478" s="247"/>
      <c r="B478" s="248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f>กระบี่!M478+ชุมพร!M478+ตรัง!M478+นครศรีธรรมราช!M478+นราธิวาส!M478+ปัตตานี!M478+พังงา!M478+พัทลุง!M478+ภูเก็ต!M478+ยะลา!M478+ระนอง!M478+สงขลา!M478+สตูล!M478+สุราษฎร์ธานี!M478</f>
        <v>0</v>
      </c>
      <c r="N478" s="58"/>
    </row>
    <row r="479" spans="1:14" ht="21.75" customHeight="1" x14ac:dyDescent="0.55000000000000004">
      <c r="A479" s="247"/>
      <c r="B479" s="248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f>กระบี่!M479+ชุมพร!M479+ตรัง!M479+นครศรีธรรมราช!M479+นราธิวาส!M479+ปัตตานี!M479+พังงา!M479+พัทลุง!M479+ภูเก็ต!M479+ยะลา!M479+ระนอง!M479+สงขลา!M479+สตูล!M479+สุราษฎร์ธานี!M479</f>
        <v>0</v>
      </c>
      <c r="N479" s="58"/>
    </row>
    <row r="480" spans="1:14" ht="21.75" customHeight="1" x14ac:dyDescent="0.55000000000000004">
      <c r="A480" s="247"/>
      <c r="B480" s="248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9">
        <f>กระบี่!M480+ชุมพร!M480+ตรัง!M480+นครศรีธรรมราช!M480+นราธิวาส!M480+ปัตตานี!M480+พังงา!M480+พัทลุง!M480+ภูเก็ต!M480+ยะลา!M480+ระนอง!M480+สงขลา!M480+สตูล!M480+สุราษฎร์ธานี!M480</f>
        <v>9935</v>
      </c>
      <c r="N480" s="58"/>
    </row>
    <row r="481" spans="1:14" ht="21.75" customHeight="1" x14ac:dyDescent="0.55000000000000004">
      <c r="A481" s="247"/>
      <c r="B481" s="248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9">
        <f>กระบี่!M481+ชุมพร!M481+ตรัง!M481+นครศรีธรรมราช!M481+นราธิวาส!M481+ปัตตานี!M481+พังงา!M481+พัทลุง!M481+ภูเก็ต!M481+ยะลา!M481+ระนอง!M481+สงขลา!M481+สตูล!M481+สุราษฎร์ธานี!M481</f>
        <v>0</v>
      </c>
      <c r="N481" s="58"/>
    </row>
    <row r="482" spans="1:14" ht="21.75" customHeight="1" x14ac:dyDescent="0.55000000000000004">
      <c r="A482" s="335"/>
      <c r="B482" s="33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292</v>
      </c>
      <c r="J482" s="74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0</v>
      </c>
      <c r="K482" s="54">
        <f t="shared" ref="K482:K489" ca="1" si="44">IF(I482&gt;0,J482*100/I482,0)</f>
        <v>0</v>
      </c>
      <c r="L482" s="66"/>
      <c r="M482" s="66"/>
      <c r="N482" s="66"/>
    </row>
    <row r="483" spans="1:14" ht="21.75" customHeight="1" x14ac:dyDescent="0.55000000000000004">
      <c r="A483" s="335"/>
      <c r="B483" s="336"/>
      <c r="C483" s="48"/>
      <c r="D483" s="286"/>
      <c r="E483" s="80"/>
      <c r="F483" s="80"/>
      <c r="G483" s="81"/>
      <c r="H483" s="65" t="s">
        <v>103</v>
      </c>
      <c r="I483" s="214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74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0</v>
      </c>
      <c r="K483" s="54">
        <f t="shared" ca="1" si="44"/>
        <v>0</v>
      </c>
      <c r="L483" s="66"/>
      <c r="M483" s="66"/>
      <c r="N483" s="66"/>
    </row>
    <row r="484" spans="1:14" ht="21.75" customHeight="1" x14ac:dyDescent="0.55000000000000004">
      <c r="A484" s="335"/>
      <c r="B484" s="33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292</v>
      </c>
      <c r="J484" s="74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0</v>
      </c>
      <c r="K484" s="54">
        <f t="shared" ca="1" si="44"/>
        <v>0</v>
      </c>
      <c r="L484" s="66"/>
      <c r="M484" s="66"/>
      <c r="N484" s="66"/>
    </row>
    <row r="485" spans="1:14" ht="21.75" customHeight="1" x14ac:dyDescent="0.55000000000000004">
      <c r="A485" s="335"/>
      <c r="B485" s="336"/>
      <c r="C485" s="48"/>
      <c r="D485" s="286"/>
      <c r="E485" s="80"/>
      <c r="F485" s="80"/>
      <c r="G485" s="81"/>
      <c r="H485" s="65" t="s">
        <v>103</v>
      </c>
      <c r="I485" s="214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74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54">
        <f t="shared" ca="1" si="44"/>
        <v>0</v>
      </c>
      <c r="L485" s="66"/>
      <c r="M485" s="66"/>
      <c r="N485" s="66"/>
    </row>
    <row r="486" spans="1:14" ht="21.75" customHeight="1" x14ac:dyDescent="0.55000000000000004">
      <c r="A486" s="335"/>
      <c r="B486" s="33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292</v>
      </c>
      <c r="J486" s="74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54">
        <f t="shared" ca="1" si="44"/>
        <v>0</v>
      </c>
      <c r="L486" s="66"/>
      <c r="M486" s="66"/>
      <c r="N486" s="66"/>
    </row>
    <row r="487" spans="1:14" ht="21.75" customHeight="1" x14ac:dyDescent="0.55000000000000004">
      <c r="A487" s="335"/>
      <c r="B487" s="336"/>
      <c r="C487" s="48"/>
      <c r="D487" s="286"/>
      <c r="E487" s="80"/>
      <c r="F487" s="80"/>
      <c r="G487" s="81"/>
      <c r="H487" s="65" t="s">
        <v>103</v>
      </c>
      <c r="I487" s="214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74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54">
        <f t="shared" ca="1" si="44"/>
        <v>0</v>
      </c>
      <c r="L487" s="66"/>
      <c r="M487" s="66"/>
      <c r="N487" s="66"/>
    </row>
    <row r="488" spans="1:14" ht="21.75" customHeight="1" x14ac:dyDescent="0.55000000000000004">
      <c r="A488" s="335"/>
      <c r="B488" s="33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292</v>
      </c>
      <c r="J488" s="74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54">
        <f t="shared" ca="1" si="44"/>
        <v>0</v>
      </c>
      <c r="L488" s="66"/>
      <c r="M488" s="66"/>
      <c r="N488" s="66"/>
    </row>
    <row r="489" spans="1:14" ht="21.75" customHeight="1" x14ac:dyDescent="0.55000000000000004">
      <c r="A489" s="337"/>
      <c r="B489" s="338"/>
      <c r="C489" s="339"/>
      <c r="D489" s="340"/>
      <c r="E489" s="314"/>
      <c r="F489" s="314"/>
      <c r="G489" s="315"/>
      <c r="H489" s="341" t="s">
        <v>103</v>
      </c>
      <c r="I489" s="342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318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122">
        <f t="shared" ca="1" si="44"/>
        <v>0</v>
      </c>
      <c r="L489" s="320"/>
      <c r="M489" s="320"/>
      <c r="N489" s="320"/>
    </row>
    <row r="490" spans="1:14" ht="21.75" customHeight="1" x14ac:dyDescent="0.55000000000000004">
      <c r="A490" s="269"/>
      <c r="B490" s="270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1328</v>
      </c>
      <c r="J490" s="275">
        <f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343">
        <f ca="1">IF(I490&gt;0,J490*100/I490,0)</f>
        <v>0</v>
      </c>
      <c r="L490" s="277">
        <f ca="1">กระบี่!L490+ชุมพร!L490+ตรัง!L490+นครศรีธรรมราช!L490+นราธิวาส!L490+ปัตตานี!L490+พังงา!L490+พัทลุง!L490+ภูเก็ต!L490+ยะลา!L490+ระนอง!L490+สงขลา!L490+สตูล!L490+สุราษฎร์ธานี!L490</f>
        <v>123580</v>
      </c>
      <c r="M490" s="277">
        <f>กระบี่!M490+ชุมพร!M490+ตรัง!M490+นครศรีธรรมราช!M490+นราธิวาส!M490+ปัตตานี!M490+พังงา!M490+พัทลุง!M490+ภูเก็ต!M490+ยะลา!M490+ระนอง!M490+สงขลา!M490+สตูล!M490+สุราษฎร์ธานี!M490</f>
        <v>12320</v>
      </c>
      <c r="N490" s="277">
        <f t="shared" ref="N490:N494" ca="1" si="45">+IF(L490&gt;0,M490*100/L490,0)</f>
        <v>9.9692506878135614</v>
      </c>
    </row>
    <row r="491" spans="1:14" ht="21.75" customHeight="1" x14ac:dyDescent="0.55000000000000004">
      <c r="A491" s="46"/>
      <c r="B491" s="47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f>กระบี่!L491+ชุมพร!L491+ตรัง!L491+นครศรีธรรมราช!L491+นราธิวาส!L491+ปัตตานี!L491+พังงา!L491+พัทลุง!L491+ภูเก็ต!L491+ยะลา!L491+ระนอง!L491+สงขลา!L491+สตูล!L491+สุราษฎร์ธานี!L491</f>
        <v>0</v>
      </c>
      <c r="M491" s="58">
        <f>กระบี่!M491+ชุมพร!M491+ตรัง!M491+นครศรีธรรมราช!M491+นราธิวาส!M491+ปัตตานี!M491+พังงา!M491+พัทลุง!M491+ภูเก็ต!M491+ยะลา!M491+ระนอง!M491+สงขลา!M491+สตูล!M491+สุราษฎร์ธานี!M491</f>
        <v>0</v>
      </c>
      <c r="N491" s="58">
        <f t="shared" si="45"/>
        <v>0</v>
      </c>
    </row>
    <row r="492" spans="1:14" ht="21.75" customHeight="1" x14ac:dyDescent="0.55000000000000004">
      <c r="A492" s="46"/>
      <c r="B492" s="47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ca="1">กระบี่!L492+ชุมพร!L492+ตรัง!L492+นครศรีธรรมราช!L492+นราธิวาส!L492+ปัตตานี!L492+พังงา!L492+พัทลุง!L492+ภูเก็ต!L492+ยะลา!L492+ระนอง!L492+สงขลา!L492+สตูล!L492+สุราษฎร์ธานี!L492</f>
        <v>123580</v>
      </c>
      <c r="M492" s="58">
        <f>กระบี่!M492+ชุมพร!M492+ตรัง!M492+นครศรีธรรมราช!M492+นราธิวาส!M492+ปัตตานี!M492+พังงา!M492+พัทลุง!M492+ภูเก็ต!M492+ยะลา!M492+ระนอง!M492+สงขลา!M492+สตูล!M492+สุราษฎร์ธานี!M492</f>
        <v>12320</v>
      </c>
      <c r="N492" s="58">
        <f t="shared" ca="1" si="45"/>
        <v>9.9692506878135614</v>
      </c>
    </row>
    <row r="493" spans="1:14" ht="21.75" customHeight="1" x14ac:dyDescent="0.55000000000000004">
      <c r="A493" s="46"/>
      <c r="B493" s="47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กระบี่!L493+ชุมพร!L493+ตรัง!L493+นครศรีธรรมราช!L493+นราธิวาส!L493+ปัตตานี!L493+พังงา!L493+พัทลุง!L493+ภูเก็ต!L493+ยะลา!L493+ระนอง!L493+สงขลา!L493+สตูล!L493+สุราษฎร์ธานี!L493</f>
        <v>0</v>
      </c>
      <c r="M493" s="58">
        <f>กระบี่!M493+ชุมพร!M493+ตรัง!M493+นครศรีธรรมราช!M493+นราธิวาส!M493+ปัตตานี!M493+พังงา!M493+พัทลุง!M493+ภูเก็ต!M493+ยะลา!M493+ระนอง!M493+สงขลา!M493+สตูล!M493+สุราษฎร์ธานี!M493</f>
        <v>0</v>
      </c>
      <c r="N493" s="58">
        <f t="shared" ca="1" si="45"/>
        <v>0</v>
      </c>
    </row>
    <row r="494" spans="1:14" ht="21.75" customHeight="1" x14ac:dyDescent="0.55000000000000004">
      <c r="A494" s="46"/>
      <c r="B494" s="47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กระบี่!L494+ชุมพร!L494+ตรัง!L494+นครศรีธรรมราช!L494+นราธิวาส!L494+ปัตตานี!L494+พังงา!L494+พัทลุง!L494+ภูเก็ต!L494+ยะลา!L494+ระนอง!L494+สงขลา!L494+สตูล!L494+สุราษฎร์ธานี!L494</f>
        <v>123580</v>
      </c>
      <c r="M494" s="58">
        <f>กระบี่!M494+ชุมพร!M494+ตรัง!M494+นครศรีธรรมราช!M494+นราธิวาส!M494+ปัตตานี!M494+พังงา!M494+พัทลุง!M494+ภูเก็ต!M494+ยะลา!M494+ระนอง!M494+สงขลา!M494+สตูล!M494+สุราษฎร์ธานี!M494</f>
        <v>12320</v>
      </c>
      <c r="N494" s="58">
        <f t="shared" ca="1" si="45"/>
        <v>9.9692506878135614</v>
      </c>
    </row>
    <row r="495" spans="1:14" ht="21.75" customHeight="1" x14ac:dyDescent="0.55000000000000004">
      <c r="A495" s="247"/>
      <c r="B495" s="248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f>กระบี่!M495+ชุมพร!M495+ตรัง!M495+นครศรีธรรมราช!M495+นราธิวาส!M495+ปัตตานี!M495+พังงา!M495+พัทลุง!M495+ภูเก็ต!M495+ยะลา!M495+ระนอง!M495+สงขลา!M495+สตูล!M495+สุราษฎร์ธานี!M495</f>
        <v>0</v>
      </c>
      <c r="N495" s="58"/>
    </row>
    <row r="496" spans="1:14" ht="21.75" customHeight="1" x14ac:dyDescent="0.55000000000000004">
      <c r="A496" s="247"/>
      <c r="B496" s="248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f>กระบี่!M496+ชุมพร!M496+ตรัง!M496+นครศรีธรรมราช!M496+นราธิวาส!M496+ปัตตานี!M496+พังงา!M496+พัทลุง!M496+ภูเก็ต!M496+ยะลา!M496+ระนอง!M496+สงขลา!M496+สตูล!M496+สุราษฎร์ธานี!M496</f>
        <v>0</v>
      </c>
      <c r="N496" s="58"/>
    </row>
    <row r="497" spans="1:14" ht="21.75" customHeight="1" x14ac:dyDescent="0.55000000000000004">
      <c r="A497" s="247"/>
      <c r="B497" s="248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f>กระบี่!M497+ชุมพร!M497+ตรัง!M497+นครศรีธรรมราช!M497+นราธิวาส!M497+ปัตตานี!M497+พังงา!M497+พัทลุง!M497+ภูเก็ต!M497+ยะลา!M497+ระนอง!M497+สงขลา!M497+สตูล!M497+สุราษฎร์ธานี!M497</f>
        <v>4000</v>
      </c>
      <c r="N497" s="58"/>
    </row>
    <row r="498" spans="1:14" ht="21.75" customHeight="1" x14ac:dyDescent="0.55000000000000004">
      <c r="A498" s="247"/>
      <c r="B498" s="248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f>กระบี่!M498+ชุมพร!M498+ตรัง!M498+นครศรีธรรมราช!M498+นราธิวาส!M498+ปัตตานี!M498+พังงา!M498+พัทลุง!M498+ภูเก็ต!M498+ยะลา!M498+ระนอง!M498+สงขลา!M498+สตูล!M498+สุราษฎร์ธานี!M498</f>
        <v>8320</v>
      </c>
      <c r="N498" s="58"/>
    </row>
    <row r="499" spans="1:14" ht="21.75" customHeight="1" x14ac:dyDescent="0.55000000000000004">
      <c r="A499" s="60"/>
      <c r="B499" s="61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1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f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2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1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f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9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5"/>
      <c r="C502" s="346"/>
      <c r="D502" s="345"/>
      <c r="E502" s="347" t="s">
        <v>28</v>
      </c>
      <c r="F502" s="348"/>
      <c r="G502" s="349"/>
      <c r="H502" s="350"/>
      <c r="I502" s="351"/>
      <c r="J502" s="351">
        <f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5"/>
      <c r="C503" s="346"/>
      <c r="D503" s="345"/>
      <c r="E503" s="347" t="s">
        <v>29</v>
      </c>
      <c r="F503" s="348"/>
      <c r="G503" s="349"/>
      <c r="H503" s="350"/>
      <c r="I503" s="351"/>
      <c r="J503" s="351">
        <f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1"/>
      <c r="C504" s="67"/>
      <c r="D504" s="61"/>
      <c r="E504" s="80"/>
      <c r="F504" s="80" t="s">
        <v>199</v>
      </c>
      <c r="G504" s="81"/>
      <c r="H504" s="65" t="s">
        <v>103</v>
      </c>
      <c r="I504" s="53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1328</v>
      </c>
      <c r="J504" s="53">
        <f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1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f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50</v>
      </c>
      <c r="K505" s="54">
        <f ca="1">+J505*100/I504</f>
        <v>3.7650602409638556</v>
      </c>
      <c r="L505" s="66"/>
      <c r="M505" s="66"/>
      <c r="N505" s="66"/>
    </row>
    <row r="506" spans="1:14" ht="21.75" customHeight="1" x14ac:dyDescent="0.55000000000000004">
      <c r="A506" s="60"/>
      <c r="B506" s="61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f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1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f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1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f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1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f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1"/>
      <c r="C510" s="67"/>
      <c r="D510" s="61"/>
      <c r="E510" s="82"/>
      <c r="F510" s="80"/>
      <c r="G510" s="79" t="s">
        <v>205</v>
      </c>
      <c r="H510" s="65" t="s">
        <v>103</v>
      </c>
      <c r="I510" s="73">
        <v>0</v>
      </c>
      <c r="J510" s="73">
        <f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0</v>
      </c>
      <c r="K510" s="54">
        <f ca="1">+J510*100/I504</f>
        <v>0</v>
      </c>
      <c r="L510" s="66"/>
      <c r="M510" s="66"/>
      <c r="N510" s="66"/>
    </row>
    <row r="511" spans="1:14" ht="21.75" customHeight="1" x14ac:dyDescent="0.55000000000000004">
      <c r="A511" s="60"/>
      <c r="B511" s="61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f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1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f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1"/>
      <c r="C513" s="67"/>
      <c r="D513" s="61"/>
      <c r="E513" s="80"/>
      <c r="F513" s="79" t="s">
        <v>208</v>
      </c>
      <c r="G513" s="81"/>
      <c r="H513" s="65" t="s">
        <v>103</v>
      </c>
      <c r="I513" s="53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314.83999999999901</v>
      </c>
      <c r="J513" s="53">
        <f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1"/>
      <c r="C514" s="67"/>
      <c r="D514" s="61"/>
      <c r="E514" s="82"/>
      <c r="F514" s="80"/>
      <c r="G514" s="105" t="s">
        <v>205</v>
      </c>
      <c r="H514" s="65" t="s">
        <v>103</v>
      </c>
      <c r="I514" s="73">
        <v>0</v>
      </c>
      <c r="J514" s="53">
        <f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1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f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1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f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1"/>
      <c r="C517" s="67"/>
      <c r="D517" s="61"/>
      <c r="E517" s="82"/>
      <c r="F517" s="80"/>
      <c r="G517" s="105" t="s">
        <v>209</v>
      </c>
      <c r="H517" s="65" t="s">
        <v>103</v>
      </c>
      <c r="I517" s="73">
        <v>0</v>
      </c>
      <c r="J517" s="73">
        <f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1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f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1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f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54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6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363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19027873.169999976</v>
      </c>
      <c r="J521" s="21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46520.520000000004</v>
      </c>
      <c r="K521" s="215">
        <f t="shared" ref="K521:K528" ca="1" si="46">IF(I521&gt;0,J521*100/I521,0)</f>
        <v>0.24448617869361203</v>
      </c>
      <c r="L521" s="215"/>
      <c r="M521" s="215"/>
      <c r="N521" s="58"/>
    </row>
    <row r="522" spans="1:14" ht="21.75" customHeight="1" x14ac:dyDescent="0.55000000000000004">
      <c r="A522" s="335"/>
      <c r="B522" s="47"/>
      <c r="C522" s="48"/>
      <c r="D522" s="56"/>
      <c r="E522" s="50"/>
      <c r="F522" s="50"/>
      <c r="G522" s="51"/>
      <c r="H522" s="364" t="s">
        <v>16</v>
      </c>
      <c r="I522" s="21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1455</v>
      </c>
      <c r="J522" s="21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16</v>
      </c>
      <c r="K522" s="215">
        <f t="shared" ca="1" si="46"/>
        <v>1.0996563573883162</v>
      </c>
      <c r="L522" s="215"/>
      <c r="M522" s="215"/>
      <c r="N522" s="58"/>
    </row>
    <row r="523" spans="1:14" ht="21.75" customHeight="1" x14ac:dyDescent="0.55000000000000004">
      <c r="A523" s="335"/>
      <c r="B523" s="363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21721657.369999975</v>
      </c>
      <c r="J523" s="21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511745.85</v>
      </c>
      <c r="K523" s="215">
        <f t="shared" ca="1" si="46"/>
        <v>2.3559245101931214</v>
      </c>
      <c r="L523" s="215"/>
      <c r="M523" s="215"/>
      <c r="N523" s="58"/>
    </row>
    <row r="524" spans="1:14" ht="21.75" customHeight="1" x14ac:dyDescent="0.55000000000000004">
      <c r="A524" s="335"/>
      <c r="B524" s="47"/>
      <c r="C524" s="48"/>
      <c r="D524" s="56"/>
      <c r="E524" s="50"/>
      <c r="F524" s="50"/>
      <c r="G524" s="51"/>
      <c r="H524" s="364" t="s">
        <v>16</v>
      </c>
      <c r="I524" s="21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879</v>
      </c>
      <c r="J524" s="21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137</v>
      </c>
      <c r="K524" s="215">
        <f t="shared" ca="1" si="46"/>
        <v>15.58589306029579</v>
      </c>
      <c r="L524" s="215"/>
      <c r="M524" s="215"/>
      <c r="N524" s="58"/>
    </row>
    <row r="525" spans="1:14" ht="21.75" customHeight="1" x14ac:dyDescent="0.55000000000000004">
      <c r="A525" s="335"/>
      <c r="B525" s="363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115855.76999999999</v>
      </c>
      <c r="J525" s="214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7087.06</v>
      </c>
      <c r="K525" s="215">
        <f t="shared" ca="1" si="46"/>
        <v>6.1171403029818894</v>
      </c>
      <c r="L525" s="215"/>
      <c r="M525" s="215"/>
      <c r="N525" s="58"/>
    </row>
    <row r="526" spans="1:14" ht="21.75" customHeight="1" x14ac:dyDescent="0.55000000000000004">
      <c r="A526" s="335"/>
      <c r="B526" s="363"/>
      <c r="C526" s="48"/>
      <c r="D526" s="56"/>
      <c r="E526" s="50"/>
      <c r="F526" s="50"/>
      <c r="G526" s="51"/>
      <c r="H526" s="364" t="s">
        <v>16</v>
      </c>
      <c r="I526" s="214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284</v>
      </c>
      <c r="J526" s="214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15</v>
      </c>
      <c r="K526" s="215">
        <f t="shared" ca="1" si="46"/>
        <v>5.28169014084507</v>
      </c>
      <c r="L526" s="215"/>
      <c r="M526" s="215"/>
      <c r="N526" s="58"/>
    </row>
    <row r="527" spans="1:14" ht="21.75" customHeight="1" x14ac:dyDescent="0.55000000000000004">
      <c r="A527" s="335"/>
      <c r="B527" s="363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14134000</v>
      </c>
      <c r="J527" s="21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215">
        <f t="shared" ca="1" si="46"/>
        <v>0</v>
      </c>
      <c r="L527" s="215"/>
      <c r="M527" s="215"/>
      <c r="N527" s="58"/>
    </row>
    <row r="528" spans="1:14" ht="21.75" customHeight="1" x14ac:dyDescent="0.55000000000000004">
      <c r="A528" s="337"/>
      <c r="B528" s="365"/>
      <c r="C528" s="339"/>
      <c r="D528" s="366"/>
      <c r="E528" s="367"/>
      <c r="F528" s="367"/>
      <c r="G528" s="368"/>
      <c r="H528" s="369" t="s">
        <v>16</v>
      </c>
      <c r="I528" s="342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359</v>
      </c>
      <c r="J528" s="342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370">
        <f t="shared" ca="1" si="46"/>
        <v>0</v>
      </c>
      <c r="L528" s="370"/>
      <c r="M528" s="370"/>
      <c r="N528" s="371"/>
    </row>
    <row r="529" spans="1:14" ht="21.75" customHeight="1" x14ac:dyDescent="0.55000000000000004">
      <c r="A529" s="372"/>
      <c r="B529" s="3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&amp;L&amp;F&amp;R</oddHeader>
    <oddFooter>&amp;Lหน้า /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L16" sqref="L1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229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737395</v>
      </c>
      <c r="M6" s="18">
        <f t="shared" si="0"/>
        <v>100819.61</v>
      </c>
      <c r="N6" s="19">
        <f ca="1">IF(L6&gt;0,M6*100/L6,0)</f>
        <v>13.672402172512697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IFERROR(__xludf.DUMMYFUNCTION("IMPORTRANGE(""https://docs.google.com/spreadsheets/d/1C3CXT74ZlgGe6_JY_1olB1XN4rF0dxEuIIF-xsYjHgg/edit?usp=sharing"",""พรบ!C89"")"),0)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IFERROR(__xludf.DUMMYFUNCTION("IMPORTRANGE(""https://docs.google.com/spreadsheets/d/1C3CXT74ZlgGe6_JY_1olB1XN4rF0dxEuIIF-xsYjHgg/edit?usp=sharing"",""พรบ!D89"")"),0)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IFERROR(__xludf.DUMMYFUNCTION("IMPORTRANGE(""https://docs.google.com/spreadsheets/d/1C3CXT74ZlgGe6_JY_1olB1XN4rF0dxEuIIF-xsYjHgg/edit?usp=sharing"",""พรบ!E89"")"),0)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t="shared" ref="K20:K28" ca="1" si="6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79">
        <f t="shared" ca="1" si="6"/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IFERROR(__xludf.DUMMYFUNCTION("IMPORTRANGE(""https://docs.google.com/spreadsheets/d/1C3CXT74ZlgGe6_JY_1olB1XN4rF0dxEuIIF-xsYjHgg/edit?usp=sharing"",""พรบ!H89"")"),0)</f>
        <v>0</v>
      </c>
      <c r="J22" s="73">
        <v>0</v>
      </c>
      <c r="K22" s="250">
        <f t="shared" ca="1" si="6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IFERROR(__xludf.DUMMYFUNCTION("IMPORTRANGE(""https://docs.google.com/spreadsheets/d/1C3CXT74ZlgGe6_JY_1olB1XN4rF0dxEuIIF-xsYjHgg/edit?usp=sharing"",""พรบ!I89"")"),0)</f>
        <v>0</v>
      </c>
      <c r="J23" s="73">
        <v>0</v>
      </c>
      <c r="K23" s="250">
        <f t="shared" ca="1" si="6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IFERROR(__xludf.DUMMYFUNCTION("IMPORTRANGE(""https://docs.google.com/spreadsheets/d/1C3CXT74ZlgGe6_JY_1olB1XN4rF0dxEuIIF-xsYjHgg/edit?usp=sharing"",""พรบ!J89"")"),0)</f>
        <v>0</v>
      </c>
      <c r="J24" s="73">
        <v>0</v>
      </c>
      <c r="K24" s="250">
        <f t="shared" ca="1" si="6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IFERROR(__xludf.DUMMYFUNCTION("IMPORTRANGE(""https://docs.google.com/spreadsheets/d/1C3CXT74ZlgGe6_JY_1olB1XN4rF0dxEuIIF-xsYjHgg/edit?usp=sharing"",""พรบ!K89"")"),0)</f>
        <v>0</v>
      </c>
      <c r="J25" s="73">
        <v>0</v>
      </c>
      <c r="K25" s="250">
        <f t="shared" ca="1" si="6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IFERROR(__xludf.DUMMYFUNCTION("IMPORTRANGE(""https://docs.google.com/spreadsheets/d/1C3CXT74ZlgGe6_JY_1olB1XN4rF0dxEuIIF-xsYjHgg/edit?usp=sharing"",""พรบ!L89"")"),0)</f>
        <v>0</v>
      </c>
      <c r="J26" s="73">
        <v>0</v>
      </c>
      <c r="K26" s="250">
        <f t="shared" ca="1" si="6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IFERROR(__xludf.DUMMYFUNCTION("IMPORTRANGE(""https://docs.google.com/spreadsheets/d/1C3CXT74ZlgGe6_JY_1olB1XN4rF0dxEuIIF-xsYjHgg/edit?usp=sharing"",""พรบ!M89"")"),0)</f>
        <v>0</v>
      </c>
      <c r="J27" s="73">
        <v>0</v>
      </c>
      <c r="K27" s="250">
        <f t="shared" ca="1" si="6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IFERROR(__xludf.DUMMYFUNCTION("IMPORTRANGE(""https://docs.google.com/spreadsheets/d/1C3CXT74ZlgGe6_JY_1olB1XN4rF0dxEuIIF-xsYjHgg/edit?usp=sharing"",""พรบ!N89"")"),0)</f>
        <v>0</v>
      </c>
      <c r="J28" s="73">
        <v>0</v>
      </c>
      <c r="K28" s="250">
        <f t="shared" ca="1" si="6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IFERROR(__xludf.DUMMYFUNCTION("IMPORTRANGE(""https://docs.google.com/spreadsheets/d/1C3CXT74ZlgGe6_JY_1olB1XN4rF0dxEuIIF-xsYjHgg/edit?usp=sharing"",""พรบ!O89"")"),0)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IFERROR(__xludf.DUMMYFUNCTION("IMPORTRANGE(""https://docs.google.com/spreadsheets/d/1C3CXT74ZlgGe6_JY_1olB1XN4rF0dxEuIIF-xsYjHgg/edit?usp=sharing"",""พรบ!P89"")"),0)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IFERROR(__xludf.DUMMYFUNCTION("IMPORTRANGE(""https://docs.google.com/spreadsheets/d/1C3CXT74ZlgGe6_JY_1olB1XN4rF0dxEuIIF-xsYjHgg/edit?usp=sharing"",""พรบ!Q89"")"),0)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IFERROR(__xludf.DUMMYFUNCTION("IMPORTRANGE(""https://docs.google.com/spreadsheets/d/1C3CXT74ZlgGe6_JY_1olB1XN4rF0dxEuIIF-xsYjHgg/edit?usp=sharing"",""พรบ!R89"")"),0)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IFERROR(__xludf.DUMMYFUNCTION("IMPORTRANGE(""https://docs.google.com/spreadsheets/d/1C3CXT74ZlgGe6_JY_1olB1XN4rF0dxEuIIF-xsYjHgg/edit?usp=sharing"",""พรบ!S89"")"),0)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IFERROR(__xludf.DUMMYFUNCTION("IMPORTRANGE(""https://docs.google.com/spreadsheets/d/1C3CXT74ZlgGe6_JY_1olB1XN4rF0dxEuIIF-xsYjHgg/edit?usp=sharing"",""พรบ!T89"")"),0)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IFERROR(__xludf.DUMMYFUNCTION("IMPORTRANGE(""https://docs.google.com/spreadsheets/d/1C3CXT74ZlgGe6_JY_1olB1XN4rF0dxEuIIF-xsYjHgg/edit?usp=sharing"",""พรบ!U89"")"),0)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IFERROR(__xludf.DUMMYFUNCTION("IMPORTRANGE(""https://docs.google.com/spreadsheets/d/1C3CXT74ZlgGe6_JY_1olB1XN4rF0dxEuIIF-xsYjHgg/edit?usp=sharing"",""พรบ!V89"")"),0)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IFERROR(__xludf.DUMMYFUNCTION("IMPORTRANGE(""https://docs.google.com/spreadsheets/d/1C3CXT74ZlgGe6_JY_1olB1XN4rF0dxEuIIF-xsYjHgg/edit?usp=sharing"",""พรบ!W89"")"),0)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IFERROR(__xludf.DUMMYFUNCTION("IMPORTRANGE(""https://docs.google.com/spreadsheets/d/1C3CXT74ZlgGe6_JY_1olB1XN4rF0dxEuIIF-xsYjHgg/edit?usp=sharing"",""พรบ!Y89"")"),0)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IFERROR(__xludf.DUMMYFUNCTION("IMPORTRANGE(""https://docs.google.com/spreadsheets/d/1C3CXT74ZlgGe6_JY_1olB1XN4rF0dxEuIIF-xsYjHgg/edit?usp=sharing"",""พรบ!Z89"")"),0)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IFERROR(__xludf.DUMMYFUNCTION("IMPORTRANGE(""https://docs.google.com/spreadsheets/d/1C3CXT74ZlgGe6_JY_1olB1XN4rF0dxEuIIF-xsYjHgg/edit?usp=sharing"",""พรบ!AA89"")"),0)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21500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21500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IFERROR(__xludf.DUMMYFUNCTION("IMPORTRANGE(""https://docs.google.com/spreadsheets/d/1C3CXT74ZlgGe6_JY_1olB1XN4rF0dxEuIIF-xsYjHgg/edit?usp=sharing"",""พรบ!AD89"")"),0)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21500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IFERROR(__xludf.DUMMYFUNCTION("IMPORTRANGE(""https://docs.google.com/spreadsheets/d/1C3CXT74ZlgGe6_JY_1olB1XN4rF0dxEuIIF-xsYjHgg/edit?usp=sharing"",""พรบ!AF89"")"),7500)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IFERROR(__xludf.DUMMYFUNCTION("IMPORTRANGE(""https://docs.google.com/spreadsheets/d/1C3CXT74ZlgGe6_JY_1olB1XN4rF0dxEuIIF-xsYjHgg/edit?usp=sharing"",""พรบ!AG89"")"),4)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1</v>
      </c>
      <c r="J89" s="161">
        <f t="shared" si="21"/>
        <v>0</v>
      </c>
      <c r="K89" s="162">
        <f ca="1">IF(I89&gt;0,J89*100/I89,0)</f>
        <v>0</v>
      </c>
      <c r="L89" s="159">
        <f ca="1">L90+L91</f>
        <v>14000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IFERROR(__xludf.DUMMYFUNCTION("IMPORTRANGE(""https://docs.google.com/spreadsheets/d/1C3CXT74ZlgGe6_JY_1olB1XN4rF0dxEuIIF-xsYjHgg/edit?usp=sharing"",""พรบ!AH89"")"),14000)</f>
        <v>14000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IFERROR(__xludf.DUMMYFUNCTION("IMPORTRANGE(""https://docs.google.com/spreadsheets/d/1C3CXT74ZlgGe6_JY_1olB1XN4rF0dxEuIIF-xsYjHgg/edit?usp=sharing"",""พรบ!AI89"")"),1)</f>
        <v>1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IFERROR(__xludf.DUMMYFUNCTION("IMPORTRANGE(""https://docs.google.com/spreadsheets/d/1C3CXT74ZlgGe6_JY_1olB1XN4rF0dxEuIIF-xsYjHgg/edit?usp=sharing"",""กปร!C89"")"),12000)</f>
        <v>12000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IFERROR(__xludf.DUMMYFUNCTION("IMPORTRANGE(""https://docs.google.com/spreadsheets/d/1C3CXT74ZlgGe6_JY_1olB1XN4rF0dxEuIIF-xsYjHgg/edit?usp=sharing"",""พรบ!AJ89"")"),0)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IFERROR(__xludf.DUMMYFUNCTION("IMPORTRANGE(""https://docs.google.com/spreadsheets/d/1C3CXT74ZlgGe6_JY_1olB1XN4rF0dxEuIIF-xsYjHgg/edit?usp=sharing"",""พรบ!AK89"")"),0)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IFERROR(__xludf.DUMMYFUNCTION("IMPORTRANGE(""https://docs.google.com/spreadsheets/d/1C3CXT74ZlgGe6_JY_1olB1XN4rF0dxEuIIF-xsYjHgg/edit?usp=sharing"",""กปร!D89"")"),0)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IFERROR(__xludf.DUMMYFUNCTION("IMPORTRANGE(""https://docs.google.com/spreadsheets/d/1C3CXT74ZlgGe6_JY_1olB1XN4rF0dxEuIIF-xsYjHgg/edit?usp=sharing"",""พรบ!AL89"")"),0)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IFERROR(__xludf.DUMMYFUNCTION("IMPORTRANGE(""https://docs.google.com/spreadsheets/d/1C3CXT74ZlgGe6_JY_1olB1XN4rF0dxEuIIF-xsYjHgg/edit?usp=sharing"",""กปร!E89"")"),0)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73" t="s">
        <v>21</v>
      </c>
      <c r="J115" s="73"/>
      <c r="K115" s="250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73"/>
      <c r="J116" s="73"/>
      <c r="K116" s="250"/>
      <c r="L116" s="55">
        <f ca="1">SUM(L117)</f>
        <v>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73"/>
      <c r="J117" s="73"/>
      <c r="K117" s="250"/>
      <c r="L117" s="58">
        <f ca="1">IFERROR(__xludf.DUMMYFUNCTION("IMPORTRANGE(""https://docs.google.com/spreadsheets/d/1C3CXT74ZlgGe6_JY_1olB1XN4rF0dxEuIIF-xsYjHgg/edit?usp=sharing"",""พรบ!AM89"")"),0)</f>
        <v>0</v>
      </c>
      <c r="M117" s="58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73"/>
      <c r="J118" s="73"/>
      <c r="K118" s="250"/>
      <c r="L118" s="58"/>
      <c r="M118" s="58"/>
      <c r="N118" s="58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3">
        <v>0</v>
      </c>
      <c r="K119" s="250"/>
      <c r="L119" s="58"/>
      <c r="M119" s="58"/>
      <c r="N119" s="58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3">
        <v>0</v>
      </c>
      <c r="K120" s="250"/>
      <c r="L120" s="58" t="s">
        <v>21</v>
      </c>
      <c r="M120" s="58" t="s">
        <v>21</v>
      </c>
      <c r="N120" s="58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3">
        <v>0</v>
      </c>
      <c r="K121" s="250"/>
      <c r="L121" s="58"/>
      <c r="M121" s="58"/>
      <c r="N121" s="58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3">
        <v>0</v>
      </c>
      <c r="K122" s="250"/>
      <c r="L122" s="58"/>
      <c r="M122" s="58"/>
      <c r="N122" s="58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250"/>
      <c r="L123" s="58"/>
      <c r="M123" s="58"/>
      <c r="N123" s="58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IFERROR(__xludf.DUMMYFUNCTION("IMPORTRANGE(""https://docs.google.com/spreadsheets/d/1C3CXT74ZlgGe6_JY_1olB1XN4rF0dxEuIIF-xsYjHgg/edit?usp=sharing"",""พรบ!AO89"")"),0)</f>
        <v>0</v>
      </c>
      <c r="J124" s="73">
        <v>0</v>
      </c>
      <c r="K124" s="250">
        <f t="shared" ref="K124:K126" ca="1" si="30">IF(I124&gt;0,J124*100/I124,0)</f>
        <v>0</v>
      </c>
      <c r="L124" s="58"/>
      <c r="M124" s="58"/>
      <c r="N124" s="58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IFERROR(__xludf.DUMMYFUNCTION("IMPORTRANGE(""https://docs.google.com/spreadsheets/d/1C3CXT74ZlgGe6_JY_1olB1XN4rF0dxEuIIF-xsYjHgg/edit?usp=sharing"",""พรบ!AP89"")"),0)</f>
        <v>0</v>
      </c>
      <c r="J125" s="73">
        <v>0</v>
      </c>
      <c r="K125" s="250">
        <f t="shared" ca="1" si="30"/>
        <v>0</v>
      </c>
      <c r="L125" s="58">
        <f ca="1">IFERROR(__xludf.DUMMYFUNCTION("IMPORTRANGE(""https://docs.google.com/spreadsheets/d/1C3CXT74ZlgGe6_JY_1olB1XN4rF0dxEuIIF-xsYjHgg/edit?usp=sharing"",""กปร!F89"")"),0)</f>
        <v>0</v>
      </c>
      <c r="M125" s="58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IFERROR(__xludf.DUMMYFUNCTION("IMPORTRANGE(""https://docs.google.com/spreadsheets/d/1C3CXT74ZlgGe6_JY_1olB1XN4rF0dxEuIIF-xsYjHgg/edit?usp=sharing"",""พรบ!AQ89"")"),0)</f>
        <v>0</v>
      </c>
      <c r="J126" s="73">
        <v>0</v>
      </c>
      <c r="K126" s="250">
        <f t="shared" ca="1" si="30"/>
        <v>0</v>
      </c>
      <c r="L126" s="58">
        <f ca="1">IFERROR(__xludf.DUMMYFUNCTION("IMPORTRANGE(""https://docs.google.com/spreadsheets/d/1C3CXT74ZlgGe6_JY_1olB1XN4rF0dxEuIIF-xsYjHgg/edit?usp=sharing"",""กปร!G89"")"),0)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3">
        <v>0</v>
      </c>
      <c r="K127" s="250"/>
      <c r="L127" s="58"/>
      <c r="M127" s="58"/>
      <c r="N127" s="58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384">
        <v>0</v>
      </c>
      <c r="K128" s="385"/>
      <c r="L128" s="386"/>
      <c r="M128" s="386"/>
      <c r="N128" s="386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IFERROR(__xludf.DUMMYFUNCTION("IMPORTRANGE(""https://docs.google.com/spreadsheets/d/1C3CXT74ZlgGe6_JY_1olB1XN4rF0dxEuIIF-xsYjHgg/edit?usp=sharing"",""พรบ!AR89"")"),0)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IFERROR(__xludf.DUMMYFUNCTION("IMPORTRANGE(""https://docs.google.com/spreadsheets/d/1C3CXT74ZlgGe6_JY_1olB1XN4rF0dxEuIIF-xsYjHgg/edit?usp=sharing"",""พรบ!AS89"")"),0)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IFERROR(__xludf.DUMMYFUNCTION("IMPORTRANGE(""https://docs.google.com/spreadsheets/d/1C3CXT74ZlgGe6_JY_1olB1XN4rF0dxEuIIF-xsYjHgg/edit?usp=sharing"",""กปร!H89"")"),0)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IFERROR(__xludf.DUMMYFUNCTION("IMPORTRANGE(""https://docs.google.com/spreadsheets/d/1C3CXT74ZlgGe6_JY_1olB1XN4rF0dxEuIIF-xsYjHgg/edit?usp=sharing"",""พรบ!AT89"")"),0)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IFERROR(__xludf.DUMMYFUNCTION("IMPORTRANGE(""https://docs.google.com/spreadsheets/d/1C3CXT74ZlgGe6_JY_1olB1XN4rF0dxEuIIF-xsYjHgg/edit?usp=sharing"",""กปร!I89"")"),0)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IFERROR(__xludf.DUMMYFUNCTION("IMPORTRANGE(""https://docs.google.com/spreadsheets/d/1C3CXT74ZlgGe6_JY_1olB1XN4rF0dxEuIIF-xsYjHgg/edit?usp=sharing"",""พรบ!AU89"")"),0)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IFERROR(__xludf.DUMMYFUNCTION("IMPORTRANGE(""https://docs.google.com/spreadsheets/d/1C3CXT74ZlgGe6_JY_1olB1XN4rF0dxEuIIF-xsYjHgg/edit?usp=sharing"",""กปร!J89"")"),0)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13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19295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IFERROR(__xludf.DUMMYFUNCTION("IMPORTRANGE(""https://docs.google.com/spreadsheets/d/1C3CXT74ZlgGe6_JY_1olB1XN4rF0dxEuIIF-xsYjHgg/edit?usp=sharing"",""พรบ!AY89"")"),19295)</f>
        <v>19295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13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IFERROR(__xludf.DUMMYFUNCTION("IMPORTRANGE(""https://docs.google.com/spreadsheets/d/1C3CXT74ZlgGe6_JY_1olB1XN4rF0dxEuIIF-xsYjHgg/edit?usp=sharing"",""พรบ!BA89"")"),13)</f>
        <v>13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IFERROR(__xludf.DUMMYFUNCTION("IMPORTRANGE(""https://docs.google.com/spreadsheets/d/1C3CXT74ZlgGe6_JY_1olB1XN4rF0dxEuIIF-xsYjHgg/edit?usp=sharing"",""พรบ!BD89"")"),0)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IFERROR(__xludf.DUMMYFUNCTION("IMPORTRANGE(""https://docs.google.com/spreadsheets/d/1C3CXT74ZlgGe6_JY_1olB1XN4rF0dxEuIIF-xsYjHgg/edit?usp=sharing"",""พรบ!BE89"")"),0)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IFERROR(__xludf.DUMMYFUNCTION("IMPORTRANGE(""https://docs.google.com/spreadsheets/d/1C3CXT74ZlgGe6_JY_1olB1XN4rF0dxEuIIF-xsYjHgg/edit?usp=sharing"",""พรบ!BF89"")"),0)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IFERROR(__xludf.DUMMYFUNCTION("IMPORTRANGE(""https://docs.google.com/spreadsheets/d/1C3CXT74ZlgGe6_JY_1olB1XN4rF0dxEuIIF-xsYjHgg/edit?usp=sharing"",""พรบ!BG89"")"),0)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IFERROR(__xludf.DUMMYFUNCTION("IMPORTRANGE(""https://docs.google.com/spreadsheets/d/1C3CXT74ZlgGe6_JY_1olB1XN4rF0dxEuIIF-xsYjHgg/edit?usp=sharing"",""พรบ!BH89"")"),0)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IFERROR(__xludf.DUMMYFUNCTION("IMPORTRANGE(""https://docs.google.com/spreadsheets/d/1C3CXT74ZlgGe6_JY_1olB1XN4rF0dxEuIIF-xsYjHgg/edit?usp=sharing"",""พรบ!BI89"")"),0)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IFERROR(__xludf.DUMMYFUNCTION("IMPORTRANGE(""https://docs.google.com/spreadsheets/d/1C3CXT74ZlgGe6_JY_1olB1XN4rF0dxEuIIF-xsYjHgg/edit?usp=sharing"",""พรบ!BK89"")"),0)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IFERROR(__xludf.DUMMYFUNCTION("IMPORTRANGE(""https://docs.google.com/spreadsheets/d/1C3CXT74ZlgGe6_JY_1olB1XN4rF0dxEuIIF-xsYjHgg/edit?usp=sharing"",""พรบ!BL89"")"),0)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IFERROR(__xludf.DUMMYFUNCTION("IMPORTRANGE(""https://docs.google.com/spreadsheets/d/1C3CXT74ZlgGe6_JY_1olB1XN4rF0dxEuIIF-xsYjHgg/edit?usp=sharing"",""พรบ!BM89"")"),0)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IFERROR(__xludf.DUMMYFUNCTION("IMPORTRANGE(""https://docs.google.com/spreadsheets/d/1C3CXT74ZlgGe6_JY_1olB1XN4rF0dxEuIIF-xsYjHgg/edit?usp=sharing"",""พรบ!BP89"")"),0)</f>
        <v>0</v>
      </c>
      <c r="M203" s="58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IFERROR(__xludf.DUMMYFUNCTION("IMPORTRANGE(""https://docs.google.com/spreadsheets/d/1C3CXT74ZlgGe6_JY_1olB1XN4rF0dxEuIIF-xsYjHgg/edit?usp=sharing"",""พรบ!BQ89"")"),0)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IFERROR(__xludf.DUMMYFUNCTION("IMPORTRANGE(""https://docs.google.com/spreadsheets/d/1C3CXT74ZlgGe6_JY_1olB1XN4rF0dxEuIIF-xsYjHgg/edit?usp=sharing"",""พรบ!BR89"")"),0)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IFERROR(__xludf.DUMMYFUNCTION("IMPORTRANGE(""https://docs.google.com/spreadsheets/d/1C3CXT74ZlgGe6_JY_1olB1XN4rF0dxEuIIF-xsYjHgg/edit?usp=sharing"",""พรบ!BU89"")"),0)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IFERROR(__xludf.DUMMYFUNCTION("IMPORTRANGE(""https://docs.google.com/spreadsheets/d/1C3CXT74ZlgGe6_JY_1olB1XN4rF0dxEuIIF-xsYjHgg/edit?usp=sharing"",""พรบ!BV89"")"),0)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25</v>
      </c>
      <c r="J228" s="212">
        <f ca="1">J240</f>
        <v>0</v>
      </c>
      <c r="K228" s="192">
        <f ca="1">IF(I228&gt;0,J228*100/I228,0)</f>
        <v>0</v>
      </c>
      <c r="L228" s="193">
        <f ca="1">L229+L230</f>
        <v>696600</v>
      </c>
      <c r="M228" s="193">
        <f>SUM(M229:M230)</f>
        <v>100819.61</v>
      </c>
      <c r="N228" s="192">
        <f ca="1">IF(L228&gt;0,M228*100/L228,0)</f>
        <v>14.473099339649727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696600</v>
      </c>
      <c r="M230" s="58">
        <f t="shared" si="51"/>
        <v>100819.61</v>
      </c>
      <c r="N230" s="58">
        <f t="shared" ca="1" si="50"/>
        <v>14.473099339649727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IFERROR(__xludf.DUMMYFUNCTION("IMPORTRANGE(""https://docs.google.com/spreadsheets/d/1C3CXT74ZlgGe6_JY_1olB1XN4rF0dxEuIIF-xsYjHgg/edit?usp=sharing"",""พรบ!BX89"")"),495500)</f>
        <v>495500</v>
      </c>
      <c r="M231" s="59">
        <v>68122.94</v>
      </c>
      <c r="N231" s="58">
        <f t="shared" ca="1" si="50"/>
        <v>13.748322906155398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IFERROR(__xludf.DUMMYFUNCTION("IMPORTRANGE(""https://docs.google.com/spreadsheets/d/1C3CXT74ZlgGe6_JY_1olB1XN4rF0dxEuIIF-xsYjHgg/edit?usp=sharing"",""พรบ!BY89"")"),201100)</f>
        <v>201100</v>
      </c>
      <c r="M232" s="59">
        <v>32696.67</v>
      </c>
      <c r="N232" s="58">
        <f t="shared" ca="1" si="50"/>
        <v>16.258910989557435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IFERROR(__xludf.DUMMYFUNCTION("IMPORTRANGE(""https://docs.google.com/spreadsheets/d/1AGHcLOeeYFL3K4b9R1dSzyJy00PE_ra89DNTVfnxSWM/edit?usp=sharing"",""รวมที่ทำกิน!J78"")"),0)</f>
        <v>0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103</v>
      </c>
      <c r="I235" s="73">
        <f ca="1">IFERROR(__xludf.DUMMYFUNCTION("IMPORTRANGE(""https://docs.google.com/spreadsheets/d/1C3CXT74ZlgGe6_JY_1olB1XN4rF0dxEuIIF-xsYjHgg/edit?usp=sharing"",""พรบ!BZ89"")"),200)</f>
        <v>200</v>
      </c>
      <c r="J235" s="73">
        <f ca="1">IFERROR(__xludf.DUMMYFUNCTION("IMPORTRANGE(""https://docs.google.com/spreadsheets/d/1AGHcLOeeYFL3K4b9R1dSzyJy00PE_ra89DNTVfnxSWM/edit?usp=sharing"",""รวมที่ทำกิน!L78"")"),0)</f>
        <v>0</v>
      </c>
      <c r="K235" s="215">
        <f t="shared" ca="1" si="52"/>
        <v>0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IFERROR(__xludf.DUMMYFUNCTION("IMPORTRANGE(""https://docs.google.com/spreadsheets/d/1C3CXT74ZlgGe6_JY_1olB1XN4rF0dxEuIIF-xsYjHgg/edit?usp=sharing"",""พรบ!CA89"")"),25)</f>
        <v>25</v>
      </c>
      <c r="J236" s="73">
        <f ca="1">IFERROR(__xludf.DUMMYFUNCTION("IMPORTRANGE(""https://docs.google.com/spreadsheets/d/1AGHcLOeeYFL3K4b9R1dSzyJy00PE_ra89DNTVfnxSWM/edit?usp=sharing"",""รวมที่ทำกิน!O78"")"),0)</f>
        <v>0</v>
      </c>
      <c r="K236" s="215">
        <f t="shared" ca="1" si="52"/>
        <v>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IFERROR(__xludf.DUMMYFUNCTION("IMPORTRANGE(""https://docs.google.com/spreadsheets/d/1AGHcLOeeYFL3K4b9R1dSzyJy00PE_ra89DNTVfnxSWM/edit?usp=sharing"",""รวมที่ทำกิน!Q78"")"),0)</f>
        <v>0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IFERROR(__xludf.DUMMYFUNCTION("IMPORTRANGE(""https://docs.google.com/spreadsheets/d/1C3CXT74ZlgGe6_JY_1olB1XN4rF0dxEuIIF-xsYjHgg/edit?usp=sharing"",""พรบ!CB89"")"),25)</f>
        <v>25</v>
      </c>
      <c r="J238" s="73">
        <f ca="1">IFERROR(__xludf.DUMMYFUNCTION("IMPORTRANGE(""https://docs.google.com/spreadsheets/d/1AGHcLOeeYFL3K4b9R1dSzyJy00PE_ra89DNTVfnxSWM/edit?usp=sharing"",""รวมที่ทำกิน!S78"")"),0)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IFERROR(__xludf.DUMMYFUNCTION("IMPORTRANGE(""https://docs.google.com/spreadsheets/d/1AGHcLOeeYFL3K4b9R1dSzyJy00PE_ra89DNTVfnxSWM/edit?usp=sharing"",""รวมที่ทำกิน!U78"")"),0)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IFERROR(__xludf.DUMMYFUNCTION("IMPORTRANGE(""https://docs.google.com/spreadsheets/d/1C3CXT74ZlgGe6_JY_1olB1XN4rF0dxEuIIF-xsYjHgg/edit?usp=sharing"",""พรบ!CC89"")"),25)</f>
        <v>25</v>
      </c>
      <c r="J240" s="73">
        <f ca="1">IFERROR(__xludf.DUMMYFUNCTION("IMPORTRANGE(""https://docs.google.com/spreadsheets/d/1AGHcLOeeYFL3K4b9R1dSzyJy00PE_ra89DNTVfnxSWM/edit?usp=sharing"",""รวมที่ทำกิน!W78"")"),0)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IFERROR(__xludf.DUMMYFUNCTION("IMPORTRANGE(""https://docs.google.com/spreadsheets/d/1AGHcLOeeYFL3K4b9R1dSzyJy00PE_ra89DNTVfnxSWM/edit?usp=sharing"",""รวมที่ทำกิน!Y78"")"),0)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518070</v>
      </c>
      <c r="M242" s="230">
        <f t="shared" si="53"/>
        <v>7700</v>
      </c>
      <c r="N242" s="230">
        <f ca="1">+IF(L242&gt;0,M242*100/L242,0)</f>
        <v>1.4862856370760709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40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89120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20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89120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IFERROR(__xludf.DUMMYFUNCTION("IMPORTRANGE(""https://docs.google.com/spreadsheets/d/1C3CXT74ZlgGe6_JY_1olB1XN4rF0dxEuIIF-xsYjHgg/edit?usp=sharing"",""งบกองทุน!d89"")"),0)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IFERROR(__xludf.DUMMYFUNCTION("IMPORTRANGE(""https://docs.google.com/spreadsheets/d/1C3CXT74ZlgGe6_JY_1olB1XN4rF0dxEuIIF-xsYjHgg/edit?usp=sharing"",""งบกองทุน!e89"")"),89120)</f>
        <v>89120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1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IFERROR(__xludf.DUMMYFUNCTION("IMPORTRANGE(""https://docs.google.com/spreadsheets/d/1C3CXT74ZlgGe6_JY_1olB1XN4rF0dxEuIIF-xsYjHgg/edit?usp=sharing"",""งบกองทุน!f89"")"),0)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40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IFERROR(__xludf.DUMMYFUNCTION("IMPORTRANGE(""https://docs.google.com/spreadsheets/d/1C3CXT74ZlgGe6_JY_1olB1XN4rF0dxEuIIF-xsYjHgg/edit?usp=sharing"",""งบกองทุน!H89"")"),20)</f>
        <v>20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IFERROR(__xludf.DUMMYFUNCTION("IMPORTRANGE(""https://docs.google.com/spreadsheets/d/1C3CXT74ZlgGe6_JY_1olB1XN4rF0dxEuIIF-xsYjHgg/edit?usp=sharing"",""งบกองทุน!i89"")"),40)</f>
        <v>40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20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IFERROR(__xludf.DUMMYFUNCTION("IMPORTRANGE(""https://docs.google.com/spreadsheets/d/1C3CXT74ZlgGe6_JY_1olB1XN4rF0dxEuIIF-xsYjHgg/edit?usp=sharing"",""งบกองทุน!k89"")"),0)</f>
        <v>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20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IFERROR(__xludf.DUMMYFUNCTION("IMPORTRANGE(""https://docs.google.com/spreadsheets/d/1C3CXT74ZlgGe6_JY_1olB1XN4rF0dxEuIIF-xsYjHgg/edit?usp=sharing"",""งบกองทุน!m89"")"),0)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40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IFERROR(__xludf.DUMMYFUNCTION("IMPORTRANGE(""https://docs.google.com/spreadsheets/d/1C3CXT74ZlgGe6_JY_1olB1XN4rF0dxEuIIF-xsYjHgg/edit?usp=sharing"",""งบกองทุน!o89"")"),0)</f>
        <v>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IFERROR(__xludf.DUMMYFUNCTION("IMPORTRANGE(""https://docs.google.com/spreadsheets/d/1C3CXT74ZlgGe6_JY_1olB1XN4rF0dxEuIIF-xsYjHgg/edit?usp=sharing"",""งบกองทุน!p89"")"),40)</f>
        <v>40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50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87710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5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87710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IFERROR(__xludf.DUMMYFUNCTION("IMPORTRANGE(""https://docs.google.com/spreadsheets/d/1C3CXT74ZlgGe6_JY_1olB1XN4rF0dxEuIIF-xsYjHgg/edit?usp=sharing"",""งบกองทุน!r89"")"),0)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IFERROR(__xludf.DUMMYFUNCTION("IMPORTRANGE(""https://docs.google.com/spreadsheets/d/1C3CXT74ZlgGe6_JY_1olB1XN4rF0dxEuIIF-xsYjHgg/edit?usp=sharing"",""งบกองทุน!s89"")"),87710)</f>
        <v>87710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IFERROR(__xludf.DUMMYFUNCTION("IMPORTRANGE(""https://docs.google.com/spreadsheets/d/1C3CXT74ZlgGe6_JY_1olB1XN4rF0dxEuIIF-xsYjHgg/edit?usp=sharing"",""งบกองทุน!v89"")"),5)</f>
        <v>5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IFERROR(__xludf.DUMMYFUNCTION("IMPORTRANGE(""https://docs.google.com/spreadsheets/d/1C3CXT74ZlgGe6_JY_1olB1XN4rF0dxEuIIF-xsYjHgg/edit?usp=sharing"",""งบกองทุน!w89"")"),50)</f>
        <v>50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IFERROR(__xludf.DUMMYFUNCTION("IMPORTRANGE(""https://docs.google.com/spreadsheets/d/1C3CXT74ZlgGe6_JY_1olB1XN4rF0dxEuIIF-xsYjHgg/edit?usp=sharing"",""งบกองทุน!x89"")"),5)</f>
        <v>5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90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116320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30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116320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IFERROR(__xludf.DUMMYFUNCTION("IMPORTRANGE(""https://docs.google.com/spreadsheets/d/1C3CXT74ZlgGe6_JY_1olB1XN4rF0dxEuIIF-xsYjHgg/edit?usp=sharing"",""งบกองทุน!z89"")"),0)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IFERROR(__xludf.DUMMYFUNCTION("IMPORTRANGE(""https://docs.google.com/spreadsheets/d/1C3CXT74ZlgGe6_JY_1olB1XN4rF0dxEuIIF-xsYjHgg/edit?usp=sharing"",""งบกองทุน!aa89"")"),116320)</f>
        <v>116320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30</v>
      </c>
      <c r="J311" s="84">
        <f t="shared" ca="1" si="73"/>
        <v>0</v>
      </c>
      <c r="K311" s="85">
        <f t="shared" ref="K311:K327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IFERROR(__xludf.DUMMYFUNCTION("IMPORTRANGE(""https://docs.google.com/spreadsheets/d/1C3CXT74ZlgGe6_JY_1olB1XN4rF0dxEuIIF-xsYjHgg/edit?usp=sharing"",""งบกองทุน!ae89"")"),10)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IFERROR(__xludf.DUMMYFUNCTION("IMPORTRANGE(""https://docs.google.com/spreadsheets/d/1C3CXT74ZlgGe6_JY_1olB1XN4rF0dxEuIIF-xsYjHgg/edit?usp=sharing"",""งบกองทุน!ad89"")"),30)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IFERROR(__xludf.DUMMYFUNCTION("IMPORTRANGE(""https://docs.google.com/spreadsheets/d/1C3CXT74ZlgGe6_JY_1olB1XN4rF0dxEuIIF-xsYjHgg/edit?usp=sharing"",""งบกองทุน!af89"")"),10)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IFERROR(__xludf.DUMMYFUNCTION("IMPORTRANGE(""https://docs.google.com/spreadsheets/d/1C3CXT74ZlgGe6_JY_1olB1XN4rF0dxEuIIF-xsYjHgg/edit?usp=sharing"",""งบกองทุน!ag89"")"),10)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IFERROR(__xludf.DUMMYFUNCTION("IMPORTRANGE(""https://docs.google.com/spreadsheets/d/1C3CXT74ZlgGe6_JY_1olB1XN4rF0dxEuIIF-xsYjHgg/edit?usp=sharing"",""งบกองทุน!ai89"")"),10)</f>
        <v>10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IFERROR(__xludf.DUMMYFUNCTION("IMPORTRANGE(""https://docs.google.com/spreadsheets/d/1C3CXT74ZlgGe6_JY_1olB1XN4rF0dxEuIIF-xsYjHgg/edit?usp=sharing"",""งบกองทุน!ah89"")"),30)</f>
        <v>30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IFERROR(__xludf.DUMMYFUNCTION("IMPORTRANGE(""https://docs.google.com/spreadsheets/d/1C3CXT74ZlgGe6_JY_1olB1XN4rF0dxEuIIF-xsYjHgg/edit?usp=sharing"",""งบกองทุน!aj89"")"),10)</f>
        <v>10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IFERROR(__xludf.DUMMYFUNCTION("IMPORTRANGE(""https://docs.google.com/spreadsheets/d/1C3CXT74ZlgGe6_JY_1olB1XN4rF0dxEuIIF-xsYjHgg/edit?usp=sharing"",""งบกองทุน!ak89"")"),10)</f>
        <v>10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IFERROR(__xludf.DUMMYFUNCTION("IMPORTRANGE(""https://docs.google.com/spreadsheets/d/1C3CXT74ZlgGe6_JY_1olB1XN4rF0dxEuIIF-xsYjHgg/edit?usp=sharing"",""งบกองทุน!al89"")"),10)</f>
        <v>10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IFERROR(__xludf.DUMMYFUNCTION("IMPORTRANGE(""https://docs.google.com/spreadsheets/d/1C3CXT74ZlgGe6_JY_1olB1XN4rF0dxEuIIF-xsYjHgg/edit?usp=sharing"",""งบกองทุน!an89"")"),10)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IFERROR(__xludf.DUMMYFUNCTION("IMPORTRANGE(""https://docs.google.com/spreadsheets/d/1C3CXT74ZlgGe6_JY_1olB1XN4rF0dxEuIIF-xsYjHgg/edit?usp=sharing"",""งบกองทุน!am89"")"),30)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IFERROR(__xludf.DUMMYFUNCTION("IMPORTRANGE(""https://docs.google.com/spreadsheets/d/1C3CXT74ZlgGe6_JY_1olB1XN4rF0dxEuIIF-xsYjHgg/edit?usp=sharing"",""งบกองทุน!ao89"")"),10)</f>
        <v>10</v>
      </c>
      <c r="J323" s="390">
        <v>0</v>
      </c>
      <c r="K323" s="54">
        <f t="shared" ca="1" si="74"/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IFERROR(__xludf.DUMMYFUNCTION("IMPORTRANGE(""https://docs.google.com/spreadsheets/d/1C3CXT74ZlgGe6_JY_1olB1XN4rF0dxEuIIF-xsYjHgg/edit?usp=sharing"",""งบกองทุน!ap89"")"),10)</f>
        <v>10</v>
      </c>
      <c r="J324" s="390">
        <v>0</v>
      </c>
      <c r="K324" s="54">
        <f t="shared" ca="1" si="74"/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20</v>
      </c>
      <c r="J325" s="388">
        <f ca="1">IF(AND(J326=I326,J327=I327),I325,0)</f>
        <v>0</v>
      </c>
      <c r="K325" s="85">
        <f t="shared" ca="1" si="74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IFERROR(__xludf.DUMMYFUNCTION("IMPORTRANGE(""https://docs.google.com/spreadsheets/d/1C3CXT74ZlgGe6_JY_1olB1XN4rF0dxEuIIF-xsYjHgg/edit?usp=sharing"",""งบกองทุน!ar89"")"),10)</f>
        <v>10</v>
      </c>
      <c r="J326" s="390">
        <v>0</v>
      </c>
      <c r="K326" s="54">
        <f t="shared" ca="1" si="74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IFERROR(__xludf.DUMMYFUNCTION("IMPORTRANGE(""https://docs.google.com/spreadsheets/d/1C3CXT74ZlgGe6_JY_1olB1XN4rF0dxEuIIF-xsYjHgg/edit?usp=sharing"",""งบกองทุน!as89"")"),10)</f>
        <v>10</v>
      </c>
      <c r="J327" s="390">
        <v>0</v>
      </c>
      <c r="K327" s="54">
        <f t="shared" ca="1" si="74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0</v>
      </c>
      <c r="K330" s="276">
        <f ca="1">IF(I330&gt;0,J330*100/I330,0)</f>
        <v>0</v>
      </c>
      <c r="L330" s="277">
        <f t="shared" ref="L330:M330" ca="1" si="75">SUM(L331:L332)</f>
        <v>71000</v>
      </c>
      <c r="M330" s="277">
        <f t="shared" si="75"/>
        <v>0</v>
      </c>
      <c r="N330" s="277">
        <f t="shared" ref="N330:N334" ca="1" si="76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6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7">SUM(L333:L334)</f>
        <v>71000</v>
      </c>
      <c r="M332" s="58">
        <f t="shared" si="77"/>
        <v>0</v>
      </c>
      <c r="N332" s="58">
        <f t="shared" ca="1" si="76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IFERROR(__xludf.DUMMYFUNCTION("IMPORTRANGE(""https://docs.google.com/spreadsheets/d/1C3CXT74ZlgGe6_JY_1olB1XN4rF0dxEuIIF-xsYjHgg/edit?usp=sharing"",""งบกองทุน!au89"")"),0)</f>
        <v>0</v>
      </c>
      <c r="M333" s="58">
        <v>0</v>
      </c>
      <c r="N333" s="58">
        <f t="shared" ca="1" si="76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IFERROR(__xludf.DUMMYFUNCTION("IMPORTRANGE(""https://docs.google.com/spreadsheets/d/1C3CXT74ZlgGe6_JY_1olB1XN4rF0dxEuIIF-xsYjHgg/edit?usp=sharing"",""งบกองทุน!av89"")"),71000)</f>
        <v>71000</v>
      </c>
      <c r="M334" s="58">
        <f>SUM(M335:M338)</f>
        <v>0</v>
      </c>
      <c r="N334" s="58">
        <f t="shared" ca="1" si="76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8">+I345+I346+I347</f>
        <v>10</v>
      </c>
      <c r="J344" s="84">
        <f t="shared" si="78"/>
        <v>0</v>
      </c>
      <c r="K344" s="54">
        <f t="shared" ref="K344:K347" ca="1" si="79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IFERROR(__xludf.DUMMYFUNCTION("IMPORTRANGE(""https://docs.google.com/spreadsheets/d/1C3CXT74ZlgGe6_JY_1olB1XN4rF0dxEuIIF-xsYjHgg/edit?usp=sharing"",""งบกองทุน!ay89"")"),10)</f>
        <v>10</v>
      </c>
      <c r="J345" s="74">
        <v>0</v>
      </c>
      <c r="K345" s="54">
        <f t="shared" ca="1" si="79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IFERROR(__xludf.DUMMYFUNCTION("IMPORTRANGE(""https://docs.google.com/spreadsheets/d/1C3CXT74ZlgGe6_JY_1olB1XN4rF0dxEuIIF-xsYjHgg/edit?usp=sharing"",""งบกองทุน!az89"")"),0)</f>
        <v>0</v>
      </c>
      <c r="J346" s="74">
        <v>0</v>
      </c>
      <c r="K346" s="54">
        <f t="shared" ca="1" si="79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IFERROR(__xludf.DUMMYFUNCTION("IMPORTRANGE(""https://docs.google.com/spreadsheets/d/1C3CXT74ZlgGe6_JY_1olB1XN4rF0dxEuIIF-xsYjHgg/edit?usp=sharing"",""งบกองทุน!Ba89"")"),0)</f>
        <v>0</v>
      </c>
      <c r="J347" s="74">
        <v>0</v>
      </c>
      <c r="K347" s="54">
        <f t="shared" ca="1" si="79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0</v>
      </c>
      <c r="J350" s="244">
        <f>+J359</f>
        <v>0</v>
      </c>
      <c r="K350" s="245">
        <f ca="1">IF(I350&gt;0,J350*100/I350,0)</f>
        <v>0</v>
      </c>
      <c r="L350" s="246">
        <f t="shared" ref="L350:M350" ca="1" si="80">SUM(L351:L352)</f>
        <v>0</v>
      </c>
      <c r="M350" s="246">
        <f t="shared" si="80"/>
        <v>0</v>
      </c>
      <c r="N350" s="246">
        <f t="shared" ref="N350:N354" ca="1" si="81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73" t="s">
        <v>21</v>
      </c>
      <c r="J351" s="73"/>
      <c r="K351" s="250"/>
      <c r="L351" s="55">
        <v>0</v>
      </c>
      <c r="M351" s="58">
        <v>0</v>
      </c>
      <c r="N351" s="58">
        <f t="shared" si="81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73"/>
      <c r="J352" s="73"/>
      <c r="K352" s="250"/>
      <c r="L352" s="55">
        <f t="shared" ref="L352:M352" ca="1" si="82">SUM(L353:L354)</f>
        <v>0</v>
      </c>
      <c r="M352" s="58">
        <f t="shared" si="82"/>
        <v>0</v>
      </c>
      <c r="N352" s="58">
        <f t="shared" ca="1" si="81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73"/>
      <c r="J353" s="73"/>
      <c r="K353" s="250"/>
      <c r="L353" s="58">
        <f ca="1">IFERROR(__xludf.DUMMYFUNCTION("IMPORTRANGE(""https://docs.google.com/spreadsheets/d/1C3CXT74ZlgGe6_JY_1olB1XN4rF0dxEuIIF-xsYjHgg/edit?usp=sharing"",""งบกองทุน!Bc89"")"),0)</f>
        <v>0</v>
      </c>
      <c r="M353" s="58">
        <v>0</v>
      </c>
      <c r="N353" s="58">
        <f t="shared" ca="1" si="81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73"/>
      <c r="J354" s="73"/>
      <c r="K354" s="250"/>
      <c r="L354" s="58">
        <f ca="1">IFERROR(__xludf.DUMMYFUNCTION("IMPORTRANGE(""https://docs.google.com/spreadsheets/d/1C3CXT74ZlgGe6_JY_1olB1XN4rF0dxEuIIF-xsYjHgg/edit?usp=sharing"",""งบกองทุน!Bd89"")"),0)</f>
        <v>0</v>
      </c>
      <c r="M354" s="58">
        <f>SUM(M355:M358)</f>
        <v>0</v>
      </c>
      <c r="N354" s="58">
        <f t="shared" ca="1" si="81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8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8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IFERROR(__xludf.DUMMYFUNCTION("IMPORTRANGE(""https://docs.google.com/spreadsheets/d/1C3CXT74ZlgGe6_JY_1olB1XN4rF0dxEuIIF-xsYjHgg/edit?usp=sharing"",""งบกองทุน!BE89"")"),0)</f>
        <v>0</v>
      </c>
      <c r="J359" s="148">
        <f>+J376</f>
        <v>0</v>
      </c>
      <c r="K359" s="149">
        <f t="shared" ref="K359:K425" ca="1" si="83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84">
        <f ca="1">I359</f>
        <v>0</v>
      </c>
      <c r="J360" s="84">
        <f t="shared" ref="J360:J361" si="84">+J362+J364+J366</f>
        <v>0</v>
      </c>
      <c r="K360" s="379">
        <f t="shared" ca="1" si="83"/>
        <v>0</v>
      </c>
      <c r="L360" s="58"/>
      <c r="M360" s="58"/>
      <c r="N360" s="58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84">
        <f ca="1">IFERROR(__xludf.DUMMYFUNCTION("IMPORTRANGE(""https://docs.google.com/spreadsheets/d/1C3CXT74ZlgGe6_JY_1olB1XN4rF0dxEuIIF-xsYjHgg/edit?usp=sharing"",""งบกองทุน!BF89"")"),0)</f>
        <v>0</v>
      </c>
      <c r="J361" s="84">
        <f t="shared" si="84"/>
        <v>0</v>
      </c>
      <c r="K361" s="379">
        <f t="shared" ca="1" si="83"/>
        <v>0</v>
      </c>
      <c r="L361" s="58"/>
      <c r="M361" s="58"/>
      <c r="N361" s="58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73">
        <v>0</v>
      </c>
      <c r="J362" s="73">
        <v>0</v>
      </c>
      <c r="K362" s="250">
        <f t="shared" si="83"/>
        <v>0</v>
      </c>
      <c r="L362" s="58"/>
      <c r="M362" s="58"/>
      <c r="N362" s="58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73">
        <v>0</v>
      </c>
      <c r="J363" s="73">
        <v>0</v>
      </c>
      <c r="K363" s="250">
        <f t="shared" si="83"/>
        <v>0</v>
      </c>
      <c r="L363" s="58"/>
      <c r="M363" s="58"/>
      <c r="N363" s="58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73">
        <v>0</v>
      </c>
      <c r="J364" s="73">
        <v>0</v>
      </c>
      <c r="K364" s="250">
        <f t="shared" si="83"/>
        <v>0</v>
      </c>
      <c r="L364" s="58"/>
      <c r="M364" s="58"/>
      <c r="N364" s="58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73">
        <v>0</v>
      </c>
      <c r="J365" s="73">
        <v>0</v>
      </c>
      <c r="K365" s="250">
        <f t="shared" si="83"/>
        <v>0</v>
      </c>
      <c r="L365" s="58"/>
      <c r="M365" s="58"/>
      <c r="N365" s="58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73">
        <v>0</v>
      </c>
      <c r="J366" s="73">
        <v>0</v>
      </c>
      <c r="K366" s="250">
        <f t="shared" si="83"/>
        <v>0</v>
      </c>
      <c r="L366" s="58"/>
      <c r="M366" s="58"/>
      <c r="N366" s="58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73">
        <v>0</v>
      </c>
      <c r="J367" s="73">
        <v>0</v>
      </c>
      <c r="K367" s="250">
        <f t="shared" si="83"/>
        <v>0</v>
      </c>
      <c r="L367" s="58"/>
      <c r="M367" s="58"/>
      <c r="N367" s="58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84">
        <f ca="1">+I359</f>
        <v>0</v>
      </c>
      <c r="J368" s="84">
        <f t="shared" ref="J368:J369" si="85">+J370+J372+J374</f>
        <v>0</v>
      </c>
      <c r="K368" s="379">
        <f t="shared" ca="1" si="83"/>
        <v>0</v>
      </c>
      <c r="L368" s="58"/>
      <c r="M368" s="58"/>
      <c r="N368" s="58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84">
        <f ca="1">I361</f>
        <v>0</v>
      </c>
      <c r="J369" s="84">
        <f t="shared" si="85"/>
        <v>0</v>
      </c>
      <c r="K369" s="379">
        <f t="shared" ca="1" si="83"/>
        <v>0</v>
      </c>
      <c r="L369" s="58"/>
      <c r="M369" s="58"/>
      <c r="N369" s="58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73">
        <v>0</v>
      </c>
      <c r="J370" s="73">
        <v>0</v>
      </c>
      <c r="K370" s="250">
        <f t="shared" si="83"/>
        <v>0</v>
      </c>
      <c r="L370" s="58"/>
      <c r="M370" s="58"/>
      <c r="N370" s="58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73">
        <v>0</v>
      </c>
      <c r="J371" s="73">
        <v>0</v>
      </c>
      <c r="K371" s="250">
        <f t="shared" si="83"/>
        <v>0</v>
      </c>
      <c r="L371" s="58"/>
      <c r="M371" s="58"/>
      <c r="N371" s="58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73">
        <v>0</v>
      </c>
      <c r="J372" s="73">
        <v>0</v>
      </c>
      <c r="K372" s="250">
        <f t="shared" si="83"/>
        <v>0</v>
      </c>
      <c r="L372" s="58"/>
      <c r="M372" s="58"/>
      <c r="N372" s="58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73">
        <v>0</v>
      </c>
      <c r="J373" s="73">
        <v>0</v>
      </c>
      <c r="K373" s="250">
        <f t="shared" si="83"/>
        <v>0</v>
      </c>
      <c r="L373" s="58"/>
      <c r="M373" s="58"/>
      <c r="N373" s="58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73">
        <v>0</v>
      </c>
      <c r="J374" s="73">
        <v>0</v>
      </c>
      <c r="K374" s="250">
        <f t="shared" si="83"/>
        <v>0</v>
      </c>
      <c r="L374" s="58"/>
      <c r="M374" s="58"/>
      <c r="N374" s="58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73">
        <v>0</v>
      </c>
      <c r="J375" s="73">
        <v>0</v>
      </c>
      <c r="K375" s="250">
        <f t="shared" si="83"/>
        <v>0</v>
      </c>
      <c r="L375" s="58"/>
      <c r="M375" s="58"/>
      <c r="N375" s="58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84">
        <f ca="1">+I359</f>
        <v>0</v>
      </c>
      <c r="J376" s="84">
        <f t="shared" ref="J376:J377" si="86">+J378+J380+J382+J388</f>
        <v>0</v>
      </c>
      <c r="K376" s="379">
        <f t="shared" ca="1" si="83"/>
        <v>0</v>
      </c>
      <c r="L376" s="416"/>
      <c r="M376" s="416"/>
      <c r="N376" s="416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84">
        <f ca="1">I361</f>
        <v>0</v>
      </c>
      <c r="J377" s="84">
        <f t="shared" si="86"/>
        <v>0</v>
      </c>
      <c r="K377" s="379">
        <f t="shared" ca="1" si="83"/>
        <v>0</v>
      </c>
      <c r="L377" s="58"/>
      <c r="M377" s="58"/>
      <c r="N377" s="58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73">
        <v>0</v>
      </c>
      <c r="J378" s="73">
        <v>0</v>
      </c>
      <c r="K378" s="250">
        <f t="shared" si="83"/>
        <v>0</v>
      </c>
      <c r="L378" s="58"/>
      <c r="M378" s="58"/>
      <c r="N378" s="58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73">
        <v>0</v>
      </c>
      <c r="J379" s="73">
        <v>0</v>
      </c>
      <c r="K379" s="250">
        <f t="shared" si="83"/>
        <v>0</v>
      </c>
      <c r="L379" s="58"/>
      <c r="M379" s="58"/>
      <c r="N379" s="58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73">
        <v>0</v>
      </c>
      <c r="J380" s="73">
        <v>0</v>
      </c>
      <c r="K380" s="250">
        <f t="shared" si="83"/>
        <v>0</v>
      </c>
      <c r="L380" s="58"/>
      <c r="M380" s="58"/>
      <c r="N380" s="58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73">
        <v>0</v>
      </c>
      <c r="J381" s="73">
        <v>0</v>
      </c>
      <c r="K381" s="250">
        <f t="shared" si="83"/>
        <v>0</v>
      </c>
      <c r="L381" s="58"/>
      <c r="M381" s="58"/>
      <c r="N381" s="58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73">
        <v>0</v>
      </c>
      <c r="J382" s="73">
        <f t="shared" ref="J382:J383" si="87">J384+J386</f>
        <v>0</v>
      </c>
      <c r="K382" s="250">
        <f t="shared" si="83"/>
        <v>0</v>
      </c>
      <c r="L382" s="58"/>
      <c r="M382" s="58"/>
      <c r="N382" s="58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73">
        <v>0</v>
      </c>
      <c r="J383" s="73">
        <f t="shared" si="87"/>
        <v>0</v>
      </c>
      <c r="K383" s="250">
        <f t="shared" si="83"/>
        <v>0</v>
      </c>
      <c r="L383" s="58"/>
      <c r="M383" s="58"/>
      <c r="N383" s="58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73">
        <v>0</v>
      </c>
      <c r="J384" s="73">
        <v>0</v>
      </c>
      <c r="K384" s="250">
        <f t="shared" si="83"/>
        <v>0</v>
      </c>
      <c r="L384" s="58"/>
      <c r="M384" s="58"/>
      <c r="N384" s="58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73">
        <v>0</v>
      </c>
      <c r="J385" s="73">
        <v>0</v>
      </c>
      <c r="K385" s="250">
        <f t="shared" si="83"/>
        <v>0</v>
      </c>
      <c r="L385" s="58"/>
      <c r="M385" s="58"/>
      <c r="N385" s="58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73">
        <v>0</v>
      </c>
      <c r="J386" s="73">
        <v>0</v>
      </c>
      <c r="K386" s="250">
        <f t="shared" si="83"/>
        <v>0</v>
      </c>
      <c r="L386" s="58"/>
      <c r="M386" s="58"/>
      <c r="N386" s="58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73">
        <v>0</v>
      </c>
      <c r="J387" s="73">
        <v>0</v>
      </c>
      <c r="K387" s="250">
        <f t="shared" si="83"/>
        <v>0</v>
      </c>
      <c r="L387" s="58"/>
      <c r="M387" s="58"/>
      <c r="N387" s="58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73">
        <v>0</v>
      </c>
      <c r="J388" s="73">
        <v>0</v>
      </c>
      <c r="K388" s="250">
        <f t="shared" si="83"/>
        <v>0</v>
      </c>
      <c r="L388" s="58"/>
      <c r="M388" s="58"/>
      <c r="N388" s="58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73">
        <v>0</v>
      </c>
      <c r="J389" s="73">
        <v>0</v>
      </c>
      <c r="K389" s="250">
        <f t="shared" si="83"/>
        <v>0</v>
      </c>
      <c r="L389" s="386"/>
      <c r="M389" s="386"/>
      <c r="N389" s="386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IFERROR(__xludf.DUMMYFUNCTION("IMPORTRANGE(""https://docs.google.com/spreadsheets/d/1C3CXT74ZlgGe6_JY_1olB1XN4rF0dxEuIIF-xsYjHgg/edit?usp=sharing"",""งบกองทุน!cd89"")"),0)</f>
        <v>0</v>
      </c>
      <c r="J390" s="148">
        <f>J391</f>
        <v>0</v>
      </c>
      <c r="K390" s="149">
        <f t="shared" ca="1" si="83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IFERROR(__xludf.DUMMYFUNCTION("IMPORTRANGE(""https://docs.google.com/spreadsheets/d/1C3CXT74ZlgGe6_JY_1olB1XN4rF0dxEuIIF-xsYjHgg/edit?usp=sharing"",""งบกองทุน!cd89"")"),0)</f>
        <v>0</v>
      </c>
      <c r="J391" s="84">
        <f t="shared" ref="J391:J392" si="88">J393+J401+J407</f>
        <v>0</v>
      </c>
      <c r="K391" s="379">
        <f t="shared" ca="1" si="83"/>
        <v>0</v>
      </c>
      <c r="L391" s="58"/>
      <c r="M391" s="58"/>
      <c r="N391" s="58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IFERROR(__xludf.DUMMYFUNCTION("IMPORTRANGE(""https://docs.google.com/spreadsheets/d/1C3CXT74ZlgGe6_JY_1olB1XN4rF0dxEuIIF-xsYjHgg/edit?usp=sharing"",""งบกองทุน!cc89"")"),0)</f>
        <v>0</v>
      </c>
      <c r="J392" s="84">
        <f t="shared" si="88"/>
        <v>0</v>
      </c>
      <c r="K392" s="379">
        <f t="shared" ca="1" si="83"/>
        <v>0</v>
      </c>
      <c r="L392" s="58"/>
      <c r="M392" s="58"/>
      <c r="N392" s="58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73">
        <v>0</v>
      </c>
      <c r="J393" s="73">
        <f t="shared" ref="J393:J394" si="89">J395+J397+J399</f>
        <v>0</v>
      </c>
      <c r="K393" s="250">
        <f t="shared" si="83"/>
        <v>0</v>
      </c>
      <c r="L393" s="58"/>
      <c r="M393" s="58"/>
      <c r="N393" s="58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73">
        <v>0</v>
      </c>
      <c r="J394" s="73">
        <f t="shared" si="89"/>
        <v>0</v>
      </c>
      <c r="K394" s="250">
        <f t="shared" si="83"/>
        <v>0</v>
      </c>
      <c r="L394" s="58"/>
      <c r="M394" s="58"/>
      <c r="N394" s="58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73">
        <v>0</v>
      </c>
      <c r="J395" s="73">
        <v>0</v>
      </c>
      <c r="K395" s="250">
        <f t="shared" si="83"/>
        <v>0</v>
      </c>
      <c r="L395" s="58"/>
      <c r="M395" s="58"/>
      <c r="N395" s="58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73">
        <v>0</v>
      </c>
      <c r="J396" s="73">
        <v>0</v>
      </c>
      <c r="K396" s="250">
        <f t="shared" si="83"/>
        <v>0</v>
      </c>
      <c r="L396" s="58"/>
      <c r="M396" s="58"/>
      <c r="N396" s="58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73">
        <v>0</v>
      </c>
      <c r="J397" s="73">
        <v>0</v>
      </c>
      <c r="K397" s="250">
        <f t="shared" si="83"/>
        <v>0</v>
      </c>
      <c r="L397" s="58"/>
      <c r="M397" s="58"/>
      <c r="N397" s="58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73">
        <v>0</v>
      </c>
      <c r="J398" s="73">
        <v>0</v>
      </c>
      <c r="K398" s="250">
        <f t="shared" si="83"/>
        <v>0</v>
      </c>
      <c r="L398" s="58"/>
      <c r="M398" s="58"/>
      <c r="N398" s="58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73">
        <v>0</v>
      </c>
      <c r="J399" s="73">
        <v>0</v>
      </c>
      <c r="K399" s="250">
        <f t="shared" si="83"/>
        <v>0</v>
      </c>
      <c r="L399" s="58"/>
      <c r="M399" s="58"/>
      <c r="N399" s="58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73">
        <v>0</v>
      </c>
      <c r="J400" s="73">
        <v>0</v>
      </c>
      <c r="K400" s="250">
        <f t="shared" si="83"/>
        <v>0</v>
      </c>
      <c r="L400" s="58"/>
      <c r="M400" s="58"/>
      <c r="N400" s="58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73">
        <v>0</v>
      </c>
      <c r="J401" s="73">
        <f t="shared" ref="J401:J402" si="90">+J403+J405</f>
        <v>0</v>
      </c>
      <c r="K401" s="250">
        <f t="shared" si="83"/>
        <v>0</v>
      </c>
      <c r="L401" s="58"/>
      <c r="M401" s="58"/>
      <c r="N401" s="58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73">
        <v>0</v>
      </c>
      <c r="J402" s="73">
        <f t="shared" si="90"/>
        <v>0</v>
      </c>
      <c r="K402" s="250">
        <f t="shared" si="83"/>
        <v>0</v>
      </c>
      <c r="L402" s="58"/>
      <c r="M402" s="58"/>
      <c r="N402" s="58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73">
        <v>0</v>
      </c>
      <c r="J403" s="73">
        <v>0</v>
      </c>
      <c r="K403" s="250">
        <f t="shared" si="83"/>
        <v>0</v>
      </c>
      <c r="L403" s="58"/>
      <c r="M403" s="58"/>
      <c r="N403" s="58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73">
        <v>0</v>
      </c>
      <c r="J404" s="73">
        <v>0</v>
      </c>
      <c r="K404" s="250">
        <f t="shared" si="83"/>
        <v>0</v>
      </c>
      <c r="L404" s="58"/>
      <c r="M404" s="58"/>
      <c r="N404" s="58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73">
        <v>0</v>
      </c>
      <c r="J405" s="73">
        <v>0</v>
      </c>
      <c r="K405" s="250">
        <f t="shared" si="83"/>
        <v>0</v>
      </c>
      <c r="L405" s="58"/>
      <c r="M405" s="58"/>
      <c r="N405" s="58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73">
        <v>0</v>
      </c>
      <c r="J406" s="73">
        <v>0</v>
      </c>
      <c r="K406" s="250">
        <f t="shared" si="83"/>
        <v>0</v>
      </c>
      <c r="L406" s="58"/>
      <c r="M406" s="58"/>
      <c r="N406" s="58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73">
        <v>0</v>
      </c>
      <c r="J407" s="73">
        <v>0</v>
      </c>
      <c r="K407" s="250">
        <f t="shared" si="83"/>
        <v>0</v>
      </c>
      <c r="L407" s="58"/>
      <c r="M407" s="58"/>
      <c r="N407" s="58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73">
        <v>0</v>
      </c>
      <c r="J408" s="73">
        <v>0</v>
      </c>
      <c r="K408" s="250">
        <f t="shared" si="83"/>
        <v>0</v>
      </c>
      <c r="L408" s="58"/>
      <c r="M408" s="58"/>
      <c r="N408" s="58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IFERROR(__xludf.DUMMYFUNCTION("IMPORTRANGE(""https://docs.google.com/spreadsheets/d/1C3CXT74ZlgGe6_JY_1olB1XN4rF0dxEuIIF-xsYjHgg/edit?usp=sharing"",""งบกองทุน!cz89"")"),0)</f>
        <v>0</v>
      </c>
      <c r="J409" s="148">
        <f ca="1">+J412+J414</f>
        <v>0</v>
      </c>
      <c r="K409" s="149">
        <f t="shared" ca="1" si="83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IFERROR(__xludf.DUMMYFUNCTION("IMPORTRANGE(""https://docs.google.com/spreadsheets/d/1C3CXT74ZlgGe6_JY_1olB1XN4rF0dxEuIIF-xsYjHgg/edit?usp=sharing"",""งบกองทุน!cz89"")"),0)</f>
        <v>0</v>
      </c>
      <c r="J410" s="399">
        <f t="shared" ref="J410:J411" ca="1" si="91">SUM(J412,J414)</f>
        <v>0</v>
      </c>
      <c r="K410" s="400">
        <f t="shared" ca="1" si="83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IFERROR(__xludf.DUMMYFUNCTION("IMPORTRANGE(""https://docs.google.com/spreadsheets/d/1C3CXT74ZlgGe6_JY_1olB1XN4rF0dxEuIIF-xsYjHgg/edit?usp=sharing"",""งบกองทุน!cy89"")"),0)</f>
        <v>0</v>
      </c>
      <c r="J411" s="402">
        <f t="shared" ca="1" si="91"/>
        <v>0</v>
      </c>
      <c r="K411" s="403">
        <f t="shared" ca="1" si="83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IFERROR(__xludf.DUMMYFUNCTION("IMPORTRANGE(""https://docs.google.com/spreadsheets/d/1C3CXT74ZlgGe6_JY_1olB1XN4rF0dxEuIIF-xsYjHgg/edit?usp=sharing"",""งบกองทุน!db89"")"),0)</f>
        <v>0</v>
      </c>
      <c r="K412" s="407">
        <f t="shared" si="83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IFERROR(__xludf.DUMMYFUNCTION("IMPORTRANGE(""https://docs.google.com/spreadsheets/d/1C3CXT74ZlgGe6_JY_1olB1XN4rF0dxEuIIF-xsYjHgg/edit?usp=sharing"",""งบกองทุน!da89"")"),0)</f>
        <v>0</v>
      </c>
      <c r="K413" s="407">
        <f t="shared" si="83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IFERROR(__xludf.DUMMYFUNCTION("IMPORTRANGE(""https://docs.google.com/spreadsheets/d/1C3CXT74ZlgGe6_JY_1olB1XN4rF0dxEuIIF-xsYjHgg/edit?usp=sharing"",""งบกองทุน!dd89"")"),0)</f>
        <v>0</v>
      </c>
      <c r="K414" s="407">
        <f t="shared" si="83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IFERROR(__xludf.DUMMYFUNCTION("IMPORTRANGE(""https://docs.google.com/spreadsheets/d/1C3CXT74ZlgGe6_JY_1olB1XN4rF0dxEuIIF-xsYjHgg/edit?usp=sharing"",""งบกองทุน!dc89"")"),0)</f>
        <v>0</v>
      </c>
      <c r="K415" s="407">
        <f t="shared" si="83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IFERROR(__xludf.DUMMYFUNCTION("IMPORTRANGE(""https://docs.google.com/spreadsheets/d/1C3CXT74ZlgGe6_JY_1olB1XN4rF0dxEuIIF-xsYjHgg/edit?usp=sharing"",""งบกองทุน!df89"")"),0)</f>
        <v>0</v>
      </c>
      <c r="K416" s="407">
        <f t="shared" si="83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IFERROR(__xludf.DUMMYFUNCTION("IMPORTRANGE(""https://docs.google.com/spreadsheets/d/1C3CXT74ZlgGe6_JY_1olB1XN4rF0dxEuIIF-xsYjHgg/edit?usp=sharing"",""งบกองทุน!de89"")"),0)</f>
        <v>0</v>
      </c>
      <c r="K417" s="407">
        <f t="shared" si="83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2">J416</f>
        <v>0</v>
      </c>
      <c r="J418" s="408">
        <f t="shared" ref="J418:J419" si="93">SUM(J420,J422,J424)</f>
        <v>0</v>
      </c>
      <c r="K418" s="409">
        <f t="shared" ca="1" si="83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2"/>
        <v>0</v>
      </c>
      <c r="J419" s="408">
        <f t="shared" si="93"/>
        <v>0</v>
      </c>
      <c r="K419" s="409">
        <f t="shared" ca="1" si="83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7">
        <v>0</v>
      </c>
      <c r="K420" s="411">
        <f t="shared" si="83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7">
        <v>0</v>
      </c>
      <c r="K421" s="411">
        <f t="shared" si="83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7">
        <v>0</v>
      </c>
      <c r="K422" s="411">
        <f t="shared" si="83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7">
        <v>0</v>
      </c>
      <c r="K423" s="411">
        <f t="shared" si="83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7">
        <v>0</v>
      </c>
      <c r="K424" s="411">
        <f t="shared" si="83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8">
        <v>0</v>
      </c>
      <c r="J425" s="419">
        <v>0</v>
      </c>
      <c r="K425" s="415">
        <f t="shared" si="83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4">I440</f>
        <v>13</v>
      </c>
      <c r="J426" s="275">
        <f t="shared" si="94"/>
        <v>0</v>
      </c>
      <c r="K426" s="276">
        <f ca="1">IF(I426&gt;0,J426*100/I426,0)</f>
        <v>0</v>
      </c>
      <c r="L426" s="277">
        <f t="shared" ref="L426:M426" ca="1" si="95">SUM(L427:L428)</f>
        <v>26700</v>
      </c>
      <c r="M426" s="277">
        <f t="shared" si="95"/>
        <v>0</v>
      </c>
      <c r="N426" s="277">
        <f t="shared" ref="N426:N430" ca="1" si="96">+IF(L426&gt;0,M426*100/L426,0)</f>
        <v>0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6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7">SUM(L429:L430)</f>
        <v>26700</v>
      </c>
      <c r="M428" s="58">
        <f t="shared" si="97"/>
        <v>0</v>
      </c>
      <c r="N428" s="58">
        <f t="shared" ca="1" si="96"/>
        <v>0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IFERROR(__xludf.DUMMYFUNCTION("IMPORTRANGE(""https://docs.google.com/spreadsheets/d/1C3CXT74ZlgGe6_JY_1olB1XN4rF0dxEuIIF-xsYjHgg/edit?usp=sharing"",""งบกองทุน!dn89"")"),0)</f>
        <v>0</v>
      </c>
      <c r="M429" s="58">
        <v>0</v>
      </c>
      <c r="N429" s="58">
        <f t="shared" ca="1" si="96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IFERROR(__xludf.DUMMYFUNCTION("IMPORTRANGE(""https://docs.google.com/spreadsheets/d/1C3CXT74ZlgGe6_JY_1olB1XN4rF0dxEuIIF-xsYjHgg/edit?usp=sharing"",""งบกองทุน!do89"")"),26700)</f>
        <v>26700</v>
      </c>
      <c r="M430" s="58">
        <f>SUM(M431:M434)</f>
        <v>0</v>
      </c>
      <c r="N430" s="58">
        <f t="shared" ca="1" si="96"/>
        <v>0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IFERROR(__xludf.DUMMYFUNCTION("IMPORTRANGE(""https://docs.google.com/spreadsheets/d/1C3CXT74ZlgGe6_JY_1olB1XN4rF0dxEuIIF-xsYjHgg/edit?usp=sharing"",""งบกองทุน!dq89"")"),13)</f>
        <v>13</v>
      </c>
      <c r="J440" s="74">
        <v>0</v>
      </c>
      <c r="K440" s="54">
        <f t="shared" ref="K440:K441" ca="1" si="98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IFERROR(__xludf.DUMMYFUNCTION("IMPORTRANGE(""https://docs.google.com/spreadsheets/d/1C3CXT74ZlgGe6_JY_1olB1XN4rF0dxEuIIF-xsYjHgg/edit?usp=sharing"",""งบกองทุน!dr89"")"),13)</f>
        <v>13</v>
      </c>
      <c r="J441" s="74">
        <v>0</v>
      </c>
      <c r="K441" s="54">
        <f t="shared" ca="1" si="98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99">SUM(I453,I455)</f>
        <v>0</v>
      </c>
      <c r="J444" s="275">
        <f t="shared" si="99"/>
        <v>0</v>
      </c>
      <c r="K444" s="276">
        <f ca="1">IF(I444&gt;0,J444*100/I444,0)</f>
        <v>0</v>
      </c>
      <c r="L444" s="277">
        <f t="shared" ref="L444:M444" ca="1" si="100">SUM(L445:L446)</f>
        <v>0</v>
      </c>
      <c r="M444" s="277">
        <f t="shared" si="100"/>
        <v>0</v>
      </c>
      <c r="N444" s="277">
        <f t="shared" ref="N444:N448" ca="1" si="101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1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2">SUM(L447:L448)</f>
        <v>0</v>
      </c>
      <c r="M446" s="58">
        <f t="shared" si="102"/>
        <v>0</v>
      </c>
      <c r="N446" s="58">
        <f t="shared" ca="1" si="101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IFERROR(__xludf.DUMMYFUNCTION("IMPORTRANGE(""https://docs.google.com/spreadsheets/d/1C3CXT74ZlgGe6_JY_1olB1XN4rF0dxEuIIF-xsYjHgg/edit?usp=sharing"",""งบกองทุน!dt89"")"),0)</f>
        <v>0</v>
      </c>
      <c r="M447" s="58">
        <v>0</v>
      </c>
      <c r="N447" s="58">
        <f t="shared" ca="1" si="101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IFERROR(__xludf.DUMMYFUNCTION("IMPORTRANGE(""https://docs.google.com/spreadsheets/d/1C3CXT74ZlgGe6_JY_1olB1XN4rF0dxEuIIF-xsYjHgg/edit?usp=sharing"",""งบกองทุน!du89"")"),0)</f>
        <v>0</v>
      </c>
      <c r="M448" s="58">
        <f>SUM(M449:M452)</f>
        <v>0</v>
      </c>
      <c r="N448" s="58">
        <f t="shared" ca="1" si="101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IFERROR(__xludf.DUMMYFUNCTION("IMPORTRANGE(""https://docs.google.com/spreadsheets/d/1C3CXT74ZlgGe6_JY_1olB1XN4rF0dxEuIIF-xsYjHgg/edit?usp=sharing"",""งบกองทุน!dw89"")"),0)</f>
        <v>0</v>
      </c>
      <c r="J453" s="73">
        <v>0</v>
      </c>
      <c r="K453" s="250">
        <f t="shared" ref="K453:K457" ca="1" si="103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IFERROR(__xludf.DUMMYFUNCTION("IMPORTRANGE(""https://docs.google.com/spreadsheets/d/1C3CXT74ZlgGe6_JY_1olB1XN4rF0dxEuIIF-xsYjHgg/edit?usp=sharing"",""งบกองทุน!dx89"")"),0)</f>
        <v>0</v>
      </c>
      <c r="J454" s="73">
        <v>0</v>
      </c>
      <c r="K454" s="250">
        <f t="shared" ca="1" si="103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IFERROR(__xludf.DUMMYFUNCTION("IMPORTRANGE(""https://docs.google.com/spreadsheets/d/1C3CXT74ZlgGe6_JY_1olB1XN4rF0dxEuIIF-xsYjHgg/edit?usp=sharing"",""งบกองทุน!dy89"")"),0)</f>
        <v>0</v>
      </c>
      <c r="J455" s="73">
        <v>0</v>
      </c>
      <c r="K455" s="250">
        <f t="shared" ca="1" si="103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IFERROR(__xludf.DUMMYFUNCTION("IMPORTRANGE(""https://docs.google.com/spreadsheets/d/1C3CXT74ZlgGe6_JY_1olB1XN4rF0dxEuIIF-xsYjHgg/edit?usp=sharing"",""งบกองทุน!dz89"")"),0)</f>
        <v>0</v>
      </c>
      <c r="J456" s="73">
        <v>0</v>
      </c>
      <c r="K456" s="250">
        <f t="shared" ca="1" si="103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50</v>
      </c>
      <c r="J457" s="244">
        <f>+J466</f>
        <v>0</v>
      </c>
      <c r="K457" s="245">
        <f t="shared" ca="1" si="103"/>
        <v>0</v>
      </c>
      <c r="L457" s="246">
        <f t="shared" ref="L457:M457" ca="1" si="104">SUM(L458:L459)</f>
        <v>119920</v>
      </c>
      <c r="M457" s="246">
        <f t="shared" si="104"/>
        <v>7700</v>
      </c>
      <c r="N457" s="246">
        <f t="shared" ref="N457:N461" ca="1" si="105">+IF(L457&gt;0,M457*100/L457,0)</f>
        <v>6.4209472981987989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5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6">SUM(L460:L461)</f>
        <v>119920</v>
      </c>
      <c r="M459" s="58">
        <f t="shared" si="106"/>
        <v>7700</v>
      </c>
      <c r="N459" s="58">
        <f t="shared" ca="1" si="105"/>
        <v>6.4209472981987989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IFERROR(__xludf.DUMMYFUNCTION("IMPORTRANGE(""https://docs.google.com/spreadsheets/d/1C3CXT74ZlgGe6_JY_1olB1XN4rF0dxEuIIF-xsYjHgg/edit?usp=sharing"",""งบกองทุน!Eb89"")"),0)</f>
        <v>0</v>
      </c>
      <c r="M460" s="58">
        <v>0</v>
      </c>
      <c r="N460" s="58">
        <f t="shared" ca="1" si="105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IFERROR(__xludf.DUMMYFUNCTION("IMPORTRANGE(""https://docs.google.com/spreadsheets/d/1C3CXT74ZlgGe6_JY_1olB1XN4rF0dxEuIIF-xsYjHgg/edit?usp=sharing"",""งบกองทุน!Ec89"")"),119920)</f>
        <v>119920</v>
      </c>
      <c r="M461" s="58">
        <f>SUM(M462:M465)</f>
        <v>7700</v>
      </c>
      <c r="N461" s="58">
        <f t="shared" ca="1" si="105"/>
        <v>6.4209472981987989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7700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IFERROR(__xludf.DUMMYFUNCTION("IMPORTRANGE(""https://docs.google.com/spreadsheets/d/1C3CXT74ZlgGe6_JY_1olB1XN4rF0dxEuIIF-xsYjHgg/edit?usp=sharing"",""งบกองทุน!Ed89"")"),50)</f>
        <v>50</v>
      </c>
      <c r="J466" s="283">
        <f>+J469+J470+J471+J472</f>
        <v>0</v>
      </c>
      <c r="K466" s="85">
        <f ca="1">IF(I466&gt;0,J466*100/I466,0)</f>
        <v>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7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7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0</v>
      </c>
      <c r="K470" s="54">
        <f t="shared" si="107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7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8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8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09">SUM(L476:L477)</f>
        <v>0</v>
      </c>
      <c r="M475" s="58">
        <f t="shared" si="109"/>
        <v>0</v>
      </c>
      <c r="N475" s="58">
        <f t="shared" ca="1" si="108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IFERROR(__xludf.DUMMYFUNCTION("IMPORTRANGE(""https://docs.google.com/spreadsheets/d/1C3CXT74ZlgGe6_JY_1olB1XN4rF0dxEuIIF-xsYjHgg/edit?usp=sharing"",""งบกองทุน!Ek89"")"),0)</f>
        <v>0</v>
      </c>
      <c r="M476" s="58">
        <v>0</v>
      </c>
      <c r="N476" s="58">
        <f t="shared" ca="1" si="108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IFERROR(__xludf.DUMMYFUNCTION("IMPORTRANGE(""https://docs.google.com/spreadsheets/d/1C3CXT74ZlgGe6_JY_1olB1XN4rF0dxEuIIF-xsYjHgg/edit?usp=sharing"",""งบกองทุน!El89"")"),0)</f>
        <v>0</v>
      </c>
      <c r="M477" s="58">
        <f>SUM(M478:M481)</f>
        <v>0</v>
      </c>
      <c r="N477" s="58">
        <f t="shared" ca="1" si="108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IFERROR(__xludf.DUMMYFUNCTION("IMPORTRANGE(""https://docs.google.com/spreadsheets/d/1C3CXT74ZlgGe6_JY_1olB1XN4rF0dxEuIIF-xsYjHgg/edit?usp=sharing"",""งบกองทุน!Em89"")"),0)</f>
        <v>0</v>
      </c>
      <c r="J482" s="73">
        <f ca="1">IFERROR(__xludf.DUMMYFUNCTION("IMPORTRANGE(""https://docs.google.com/spreadsheets/d/1AGHcLOeeYFL3K4b9R1dSzyJy00PE_ra89DNTVfnxSWM/edit?usp=sharing"",""รวมที่ชุมชน!G78"")"),0)</f>
        <v>0</v>
      </c>
      <c r="K482" s="250">
        <f t="shared" ref="K482:K489" ca="1" si="110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IFERROR(__xludf.DUMMYFUNCTION("IMPORTRANGE(""https://docs.google.com/spreadsheets/d/1AGHcLOeeYFL3K4b9R1dSzyJy00PE_ra89DNTVfnxSWM/edit?usp=sharing"",""รวมที่ชุมชน!H78"")"),0)</f>
        <v>0</v>
      </c>
      <c r="K483" s="250">
        <f t="shared" si="110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IFERROR(__xludf.DUMMYFUNCTION("IMPORTRANGE(""https://docs.google.com/spreadsheets/d/1C3CXT74ZlgGe6_JY_1olB1XN4rF0dxEuIIF-xsYjHgg/edit?usp=sharing"",""งบกองทุน!Eo89"")"),0)</f>
        <v>0</v>
      </c>
      <c r="J484" s="73">
        <f ca="1">IFERROR(__xludf.DUMMYFUNCTION("IMPORTRANGE(""https://docs.google.com/spreadsheets/d/1AGHcLOeeYFL3K4b9R1dSzyJy00PE_ra89DNTVfnxSWM/edit?usp=sharing"",""รวมที่ชุมชน!J78"")"),0)</f>
        <v>0</v>
      </c>
      <c r="K484" s="250">
        <f t="shared" ca="1" si="110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IFERROR(__xludf.DUMMYFUNCTION("IMPORTRANGE(""https://docs.google.com/spreadsheets/d/1AGHcLOeeYFL3K4b9R1dSzyJy00PE_ra89DNTVfnxSWM/edit?usp=sharing"",""รวมที่ชุมชน!L78"")"),0)</f>
        <v>0</v>
      </c>
      <c r="K485" s="250">
        <f t="shared" si="110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IFERROR(__xludf.DUMMYFUNCTION("IMPORTRANGE(""https://docs.google.com/spreadsheets/d/1C3CXT74ZlgGe6_JY_1olB1XN4rF0dxEuIIF-xsYjHgg/edit?usp=sharing"",""งบกองทุน!Eq89"")"),0)</f>
        <v>0</v>
      </c>
      <c r="J486" s="73">
        <f ca="1">IFERROR(__xludf.DUMMYFUNCTION("IMPORTRANGE(""https://docs.google.com/spreadsheets/d/1AGHcLOeeYFL3K4b9R1dSzyJy00PE_ra89DNTVfnxSWM/edit?usp=sharing"",""รวมที่ชุมชน!S78"")"),0)</f>
        <v>0</v>
      </c>
      <c r="K486" s="250">
        <f t="shared" ca="1" si="110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IFERROR(__xludf.DUMMYFUNCTION("IMPORTRANGE(""https://docs.google.com/spreadsheets/d/1AGHcLOeeYFL3K4b9R1dSzyJy00PE_ra89DNTVfnxSWM/edit?usp=sharing"",""รวมที่ชุมชน!U78"")"),0)</f>
        <v>0</v>
      </c>
      <c r="K487" s="250">
        <f t="shared" si="110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IFERROR(__xludf.DUMMYFUNCTION("IMPORTRANGE(""https://docs.google.com/spreadsheets/d/1C3CXT74ZlgGe6_JY_1olB1XN4rF0dxEuIIF-xsYjHgg/edit?usp=sharing"",""งบกองทุน!Es89"")"),0)</f>
        <v>0</v>
      </c>
      <c r="J488" s="73">
        <f ca="1">IFERROR(__xludf.DUMMYFUNCTION("IMPORTRANGE(""https://docs.google.com/spreadsheets/d/1AGHcLOeeYFL3K4b9R1dSzyJy00PE_ra89DNTVfnxSWM/edit?usp=sharing"",""รวมที่ชุมชน!V78"")"),0)</f>
        <v>0</v>
      </c>
      <c r="K488" s="250">
        <f t="shared" ca="1" si="110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IFERROR(__xludf.DUMMYFUNCTION("IMPORTRANGE(""https://docs.google.com/spreadsheets/d/1AGHcLOeeYFL3K4b9R1dSzyJy00PE_ra89DNTVfnxSWM/edit?usp=sharing"",""รวมที่ชุมชน!X78"")"),0)</f>
        <v>0</v>
      </c>
      <c r="K489" s="385">
        <f t="shared" si="110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1">I504</f>
        <v>100</v>
      </c>
      <c r="J490" s="321">
        <f t="shared" si="111"/>
        <v>0</v>
      </c>
      <c r="K490" s="343">
        <f ca="1">IF(I490&gt;0,J490*100/I490,0)</f>
        <v>0</v>
      </c>
      <c r="L490" s="277">
        <f ca="1">SUM(L491,L492)</f>
        <v>7300</v>
      </c>
      <c r="M490" s="277">
        <f>SUM(M491:M492)</f>
        <v>0</v>
      </c>
      <c r="N490" s="277">
        <f t="shared" ref="N490:N494" ca="1" si="112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2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3">SUM(L493:L494)</f>
        <v>7300</v>
      </c>
      <c r="M492" s="58">
        <f t="shared" si="113"/>
        <v>0</v>
      </c>
      <c r="N492" s="58">
        <f t="shared" ca="1" si="112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IFERROR(__xludf.DUMMYFUNCTION("IMPORTRANGE(""https://docs.google.com/spreadsheets/d/1C3CXT74ZlgGe6_JY_1olB1XN4rF0dxEuIIF-xsYjHgg/edit?usp=sharing"",""งบกองทุน!Ev89"")"),0)</f>
        <v>0</v>
      </c>
      <c r="M493" s="58">
        <v>0</v>
      </c>
      <c r="N493" s="58">
        <f t="shared" ca="1" si="112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IFERROR(__xludf.DUMMYFUNCTION("IMPORTRANGE(""https://docs.google.com/spreadsheets/d/1C3CXT74ZlgGe6_JY_1olB1XN4rF0dxEuIIF-xsYjHgg/edit?usp=sharing"",""งบกองทุน!Ew89"")"),7300)</f>
        <v>7300</v>
      </c>
      <c r="M494" s="58">
        <f>SUM(M495:M498)</f>
        <v>0</v>
      </c>
      <c r="N494" s="58">
        <f t="shared" ca="1" si="112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IFERROR(__xludf.DUMMYFUNCTION("IMPORTRANGE(""https://docs.google.com/spreadsheets/d/1C3CXT74ZlgGe6_JY_1olB1XN4rF0dxEuIIF-xsYjHgg/edit?usp=sharing"",""งบกองทุน!EZ89"")"),100)</f>
        <v>100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4">I511+I512</f>
        <v>0</v>
      </c>
      <c r="J510" s="73">
        <f t="shared" si="114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IFERROR(__xludf.DUMMYFUNCTION("IMPORTRANGE(""https://docs.google.com/spreadsheets/d/1C3CXT74ZlgGe6_JY_1olB1XN4rF0dxEuIIF-xsYjHgg/edit?usp=sharing"",""งบกองทุน!ff89"")"),0)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5">I515+I516</f>
        <v>0</v>
      </c>
      <c r="J514" s="53">
        <f t="shared" si="115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6">SUM(I518:I519)</f>
        <v>0</v>
      </c>
      <c r="J517" s="73">
        <f t="shared" si="116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IFERROR(__xludf.DUMMYFUNCTION("IMPORTRANGE(""https://docs.google.com/spreadsheets/d/1muirlRDkqiswvy_NRZ3Yh955hx-PF6_HhssUYiSJj8o/edit?usp=sharing"",""กองทุน!D89"")"),741944.84)</f>
        <v>741944.84</v>
      </c>
      <c r="J521" s="214">
        <f ca="1">IFERROR(__xludf.DUMMYFUNCTION("IMPORTRANGE(""https://docs.google.com/spreadsheets/d/1muirlRDkqiswvy_NRZ3Yh955hx-PF6_HhssUYiSJj8o/edit?usp=sharing"",""กองทุน!F89"")"),0)</f>
        <v>0</v>
      </c>
      <c r="K521" s="215">
        <f t="shared" ref="K521:K528" ca="1" si="117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IFERROR(__xludf.DUMMYFUNCTION("IMPORTRANGE(""https://docs.google.com/spreadsheets/d/1muirlRDkqiswvy_NRZ3Yh955hx-PF6_HhssUYiSJj8o/edit?usp=sharing"",""กองทุน!C89"")"),36)</f>
        <v>36</v>
      </c>
      <c r="J522" s="214">
        <f ca="1">IFERROR(__xludf.DUMMYFUNCTION("IMPORTRANGE(""https://docs.google.com/spreadsheets/d/1muirlRDkqiswvy_NRZ3Yh955hx-PF6_HhssUYiSJj8o/edit?usp=sharing"",""กองทุน!E89"")"),0)</f>
        <v>0</v>
      </c>
      <c r="K522" s="215">
        <f t="shared" ca="1" si="117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IFERROR(__xludf.DUMMYFUNCTION("IMPORTRANGE(""https://docs.google.com/spreadsheets/d/1muirlRDkqiswvy_NRZ3Yh955hx-PF6_HhssUYiSJj8o/edit?usp=sharing"",""กองทุน!I89"")"),0)</f>
        <v>0</v>
      </c>
      <c r="J523" s="214">
        <f ca="1">IFERROR(__xludf.DUMMYFUNCTION("IMPORTRANGE(""https://docs.google.com/spreadsheets/d/1muirlRDkqiswvy_NRZ3Yh955hx-PF6_HhssUYiSJj8o/edit?usp=sharing"",""กองทุน!K89"")"),0)</f>
        <v>0</v>
      </c>
      <c r="K523" s="215">
        <f t="shared" ca="1" si="117"/>
        <v>0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IFERROR(__xludf.DUMMYFUNCTION("IMPORTRANGE(""https://docs.google.com/spreadsheets/d/1muirlRDkqiswvy_NRZ3Yh955hx-PF6_HhssUYiSJj8o/edit?usp=sharing"",""กองทุน!H89"")"),0)</f>
        <v>0</v>
      </c>
      <c r="J524" s="214">
        <f ca="1">IFERROR(__xludf.DUMMYFUNCTION("IMPORTRANGE(""https://docs.google.com/spreadsheets/d/1muirlRDkqiswvy_NRZ3Yh955hx-PF6_HhssUYiSJj8o/edit?usp=sharing"",""กองทุน!J89"")"),0)</f>
        <v>0</v>
      </c>
      <c r="K524" s="215">
        <f t="shared" ca="1" si="117"/>
        <v>0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IFERROR(__xludf.DUMMYFUNCTION("IMPORTRANGE(""https://docs.google.com/spreadsheets/d/1muirlRDkqiswvy_NRZ3Yh955hx-PF6_HhssUYiSJj8o/edit?usp=sharing"",""กองทุน!N89"")"),0)</f>
        <v>0</v>
      </c>
      <c r="J525" s="214">
        <f ca="1">IFERROR(__xludf.DUMMYFUNCTION("IMPORTRANGE(""https://docs.google.com/spreadsheets/d/1muirlRDkqiswvy_NRZ3Yh955hx-PF6_HhssUYiSJj8o/edit?usp=sharing"",""กองทุน!P89"")"),0)</f>
        <v>0</v>
      </c>
      <c r="K525" s="215">
        <f t="shared" ca="1" si="117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IFERROR(__xludf.DUMMYFUNCTION("IMPORTRANGE(""https://docs.google.com/spreadsheets/d/1muirlRDkqiswvy_NRZ3Yh955hx-PF6_HhssUYiSJj8o/edit?usp=sharing"",""กองทุน!M89"")"),0)</f>
        <v>0</v>
      </c>
      <c r="J526" s="214">
        <f ca="1">IFERROR(__xludf.DUMMYFUNCTION("IMPORTRANGE(""https://docs.google.com/spreadsheets/d/1muirlRDkqiswvy_NRZ3Yh955hx-PF6_HhssUYiSJj8o/edit?usp=sharing"",""กองทุน!O89"")"),0)</f>
        <v>0</v>
      </c>
      <c r="K526" s="215">
        <f t="shared" ca="1" si="117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IFERROR(__xludf.DUMMYFUNCTION("IMPORTRANGE(""https://docs.google.com/spreadsheets/d/1muirlRDkqiswvy_NRZ3Yh955hx-PF6_HhssUYiSJj8o/edit?usp=sharing"",""กองทุน!S89"")"),350000)</f>
        <v>350000</v>
      </c>
      <c r="J527" s="214">
        <f ca="1">IFERROR(__xludf.DUMMYFUNCTION("IMPORTRANGE(""https://docs.google.com/spreadsheets/d/1muirlRDkqiswvy_NRZ3Yh955hx-PF6_HhssUYiSJj8o/edit?usp=sharing"",""กองทุน!U89"")"),0)</f>
        <v>0</v>
      </c>
      <c r="K527" s="215">
        <f t="shared" ca="1" si="117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IFERROR(__xludf.DUMMYFUNCTION("IMPORTRANGE(""https://docs.google.com/spreadsheets/d/1muirlRDkqiswvy_NRZ3Yh955hx-PF6_HhssUYiSJj8o/edit?usp=sharing"",""กองทุน!R89"")"),7)</f>
        <v>7</v>
      </c>
      <c r="J528" s="342">
        <f ca="1">IFERROR(__xludf.DUMMYFUNCTION("IMPORTRANGE(""https://docs.google.com/spreadsheets/d/1muirlRDkqiswvy_NRZ3Yh955hx-PF6_HhssUYiSJj8o/edit?usp=sharing"",""กองทุน!T89"")"),0)</f>
        <v>0</v>
      </c>
      <c r="K528" s="370">
        <f t="shared" ca="1" si="117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M27" sqref="M27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230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941475</v>
      </c>
      <c r="M6" s="18">
        <f t="shared" si="0"/>
        <v>0</v>
      </c>
      <c r="N6" s="19">
        <f ca="1">IF(L6&gt;0,M6*100/L6,0)</f>
        <v>0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IFERROR(__xludf.DUMMYFUNCTION("IMPORTRANGE(""https://docs.google.com/spreadsheets/d/1C3CXT74ZlgGe6_JY_1olB1XN4rF0dxEuIIF-xsYjHgg/edit?usp=sharing"",""พรบ!C90"")"),0)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IFERROR(__xludf.DUMMYFUNCTION("IMPORTRANGE(""https://docs.google.com/spreadsheets/d/1C3CXT74ZlgGe6_JY_1olB1XN4rF0dxEuIIF-xsYjHgg/edit?usp=sharing"",""พรบ!D90"")"),0)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IFERROR(__xludf.DUMMYFUNCTION("IMPORTRANGE(""https://docs.google.com/spreadsheets/d/1C3CXT74ZlgGe6_JY_1olB1XN4rF0dxEuIIF-xsYjHgg/edit?usp=sharing"",""พรบ!E90"")"),0)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IFERROR(__xludf.DUMMYFUNCTION("IMPORTRANGE(""https://docs.google.com/spreadsheets/d/1C3CXT74ZlgGe6_JY_1olB1XN4rF0dxEuIIF-xsYjHgg/edit?usp=sharing"",""พรบ!H90"")"),0)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IFERROR(__xludf.DUMMYFUNCTION("IMPORTRANGE(""https://docs.google.com/spreadsheets/d/1C3CXT74ZlgGe6_JY_1olB1XN4rF0dxEuIIF-xsYjHgg/edit?usp=sharing"",""พรบ!I90"")"),0)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IFERROR(__xludf.DUMMYFUNCTION("IMPORTRANGE(""https://docs.google.com/spreadsheets/d/1C3CXT74ZlgGe6_JY_1olB1XN4rF0dxEuIIF-xsYjHgg/edit?usp=sharing"",""พรบ!J90"")"),0)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IFERROR(__xludf.DUMMYFUNCTION("IMPORTRANGE(""https://docs.google.com/spreadsheets/d/1C3CXT74ZlgGe6_JY_1olB1XN4rF0dxEuIIF-xsYjHgg/edit?usp=sharing"",""พรบ!K90"")"),0)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IFERROR(__xludf.DUMMYFUNCTION("IMPORTRANGE(""https://docs.google.com/spreadsheets/d/1C3CXT74ZlgGe6_JY_1olB1XN4rF0dxEuIIF-xsYjHgg/edit?usp=sharing"",""พรบ!L90"")"),0)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IFERROR(__xludf.DUMMYFUNCTION("IMPORTRANGE(""https://docs.google.com/spreadsheets/d/1C3CXT74ZlgGe6_JY_1olB1XN4rF0dxEuIIF-xsYjHgg/edit?usp=sharing"",""พรบ!M90"")"),0)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IFERROR(__xludf.DUMMYFUNCTION("IMPORTRANGE(""https://docs.google.com/spreadsheets/d/1C3CXT74ZlgGe6_JY_1olB1XN4rF0dxEuIIF-xsYjHgg/edit?usp=sharing"",""พรบ!N90"")"),0)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IFERROR(__xludf.DUMMYFUNCTION("IMPORTRANGE(""https://docs.google.com/spreadsheets/d/1C3CXT74ZlgGe6_JY_1olB1XN4rF0dxEuIIF-xsYjHgg/edit?usp=sharing"",""พรบ!O90"")"),0)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IFERROR(__xludf.DUMMYFUNCTION("IMPORTRANGE(""https://docs.google.com/spreadsheets/d/1C3CXT74ZlgGe6_JY_1olB1XN4rF0dxEuIIF-xsYjHgg/edit?usp=sharing"",""พรบ!P90"")"),0)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IFERROR(__xludf.DUMMYFUNCTION("IMPORTRANGE(""https://docs.google.com/spreadsheets/d/1C3CXT74ZlgGe6_JY_1olB1XN4rF0dxEuIIF-xsYjHgg/edit?usp=sharing"",""พรบ!Q90"")"),0)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IFERROR(__xludf.DUMMYFUNCTION("IMPORTRANGE(""https://docs.google.com/spreadsheets/d/1C3CXT74ZlgGe6_JY_1olB1XN4rF0dxEuIIF-xsYjHgg/edit?usp=sharing"",""พรบ!R90"")"),0)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IFERROR(__xludf.DUMMYFUNCTION("IMPORTRANGE(""https://docs.google.com/spreadsheets/d/1C3CXT74ZlgGe6_JY_1olB1XN4rF0dxEuIIF-xsYjHgg/edit?usp=sharing"",""พรบ!S90"")"),0)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IFERROR(__xludf.DUMMYFUNCTION("IMPORTRANGE(""https://docs.google.com/spreadsheets/d/1C3CXT74ZlgGe6_JY_1olB1XN4rF0dxEuIIF-xsYjHgg/edit?usp=sharing"",""พรบ!T90"")"),0)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IFERROR(__xludf.DUMMYFUNCTION("IMPORTRANGE(""https://docs.google.com/spreadsheets/d/1C3CXT74ZlgGe6_JY_1olB1XN4rF0dxEuIIF-xsYjHgg/edit?usp=sharing"",""พรบ!U90"")"),0)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IFERROR(__xludf.DUMMYFUNCTION("IMPORTRANGE(""https://docs.google.com/spreadsheets/d/1C3CXT74ZlgGe6_JY_1olB1XN4rF0dxEuIIF-xsYjHgg/edit?usp=sharing"",""พรบ!V90"")"),0)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IFERROR(__xludf.DUMMYFUNCTION("IMPORTRANGE(""https://docs.google.com/spreadsheets/d/1C3CXT74ZlgGe6_JY_1olB1XN4rF0dxEuIIF-xsYjHgg/edit?usp=sharing"",""พรบ!W90"")"),0)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IFERROR(__xludf.DUMMYFUNCTION("IMPORTRANGE(""https://docs.google.com/spreadsheets/d/1C3CXT74ZlgGe6_JY_1olB1XN4rF0dxEuIIF-xsYjHgg/edit?usp=sharing"",""พรบ!Y90"")"),0)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IFERROR(__xludf.DUMMYFUNCTION("IMPORTRANGE(""https://docs.google.com/spreadsheets/d/1C3CXT74ZlgGe6_JY_1olB1XN4rF0dxEuIIF-xsYjHgg/edit?usp=sharing"",""พรบ!Z90"")"),0)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IFERROR(__xludf.DUMMYFUNCTION("IMPORTRANGE(""https://docs.google.com/spreadsheets/d/1C3CXT74ZlgGe6_JY_1olB1XN4rF0dxEuIIF-xsYjHgg/edit?usp=sharing"",""พรบ!AA90"")"),0)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29300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29300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IFERROR(__xludf.DUMMYFUNCTION("IMPORTRANGE(""https://docs.google.com/spreadsheets/d/1C3CXT74ZlgGe6_JY_1olB1XN4rF0dxEuIIF-xsYjHgg/edit?usp=sharing"",""พรบ!AD90"")"),0)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29300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IFERROR(__xludf.DUMMYFUNCTION("IMPORTRANGE(""https://docs.google.com/spreadsheets/d/1C3CXT74ZlgGe6_JY_1olB1XN4rF0dxEuIIF-xsYjHgg/edit?usp=sharing"",""พรบ!AF90"")"),7500)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IFERROR(__xludf.DUMMYFUNCTION("IMPORTRANGE(""https://docs.google.com/spreadsheets/d/1C3CXT74ZlgGe6_JY_1olB1XN4rF0dxEuIIF-xsYjHgg/edit?usp=sharing"",""พรบ!AG90"")"),4)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1</v>
      </c>
      <c r="J89" s="161">
        <f t="shared" si="21"/>
        <v>0</v>
      </c>
      <c r="K89" s="162">
        <f ca="1">IF(I89&gt;0,J89*100/I89,0)</f>
        <v>0</v>
      </c>
      <c r="L89" s="159">
        <f ca="1">L90+L91</f>
        <v>14000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14000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IFERROR(__xludf.DUMMYFUNCTION("IMPORTRANGE(""https://docs.google.com/spreadsheets/d/1C3CXT74ZlgGe6_JY_1olB1XN4rF0dxEuIIF-xsYjHgg/edit?usp=sharing"",""พรบ!AH90"")"),14000)</f>
        <v>14000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IFERROR(__xludf.DUMMYFUNCTION("IMPORTRANGE(""https://docs.google.com/spreadsheets/d/1C3CXT74ZlgGe6_JY_1olB1XN4rF0dxEuIIF-xsYjHgg/edit?usp=sharing"",""พรบ!AI90"")"),1)</f>
        <v>1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IFERROR(__xludf.DUMMYFUNCTION("IMPORTRANGE(""https://docs.google.com/spreadsheets/d/1C3CXT74ZlgGe6_JY_1olB1XN4rF0dxEuIIF-xsYjHgg/edit?usp=sharing"",""กปร!C90"")"),24000)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IFERROR(__xludf.DUMMYFUNCTION("IMPORTRANGE(""https://docs.google.com/spreadsheets/d/1C3CXT74ZlgGe6_JY_1olB1XN4rF0dxEuIIF-xsYjHgg/edit?usp=sharing"",""พรบ!AJ90"")"),0)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IFERROR(__xludf.DUMMYFUNCTION("IMPORTRANGE(""https://docs.google.com/spreadsheets/d/1C3CXT74ZlgGe6_JY_1olB1XN4rF0dxEuIIF-xsYjHgg/edit?usp=sharing"",""พรบ!AK90"")"),0)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IFERROR(__xludf.DUMMYFUNCTION("IMPORTRANGE(""https://docs.google.com/spreadsheets/d/1C3CXT74ZlgGe6_JY_1olB1XN4rF0dxEuIIF-xsYjHgg/edit?usp=sharing"",""กปร!D90"")"),0)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IFERROR(__xludf.DUMMYFUNCTION("IMPORTRANGE(""https://docs.google.com/spreadsheets/d/1C3CXT74ZlgGe6_JY_1olB1XN4rF0dxEuIIF-xsYjHgg/edit?usp=sharing"",""พรบ!AL90"")"),0)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IFERROR(__xludf.DUMMYFUNCTION("IMPORTRANGE(""https://docs.google.com/spreadsheets/d/1C3CXT74ZlgGe6_JY_1olB1XN4rF0dxEuIIF-xsYjHgg/edit?usp=sharing"",""กปร!E90"")"),0)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12000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7800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7800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IFERROR(__xludf.DUMMYFUNCTION("IMPORTRANGE(""https://docs.google.com/spreadsheets/d/1C3CXT74ZlgGe6_JY_1olB1XN4rF0dxEuIIF-xsYjHgg/edit?usp=sharing"",""พรบ!AM90"")"),7800)</f>
        <v>7800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IFERROR(__xludf.DUMMYFUNCTION("IMPORTRANGE(""https://docs.google.com/spreadsheets/d/1C3CXT74ZlgGe6_JY_1olB1XN4rF0dxEuIIF-xsYjHgg/edit?usp=sharing"",""พรบ!AO90"")"),12000)</f>
        <v>12000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IFERROR(__xludf.DUMMYFUNCTION("IMPORTRANGE(""https://docs.google.com/spreadsheets/d/1C3CXT74ZlgGe6_JY_1olB1XN4rF0dxEuIIF-xsYjHgg/edit?usp=sharing"",""พรบ!AP90"")"),12000)</f>
        <v>12000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IFERROR(__xludf.DUMMYFUNCTION("IMPORTRANGE(""https://docs.google.com/spreadsheets/d/1C3CXT74ZlgGe6_JY_1olB1XN4rF0dxEuIIF-xsYjHgg/edit?usp=sharing"",""กปร!F90"")"),3800)</f>
        <v>3800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IFERROR(__xludf.DUMMYFUNCTION("IMPORTRANGE(""https://docs.google.com/spreadsheets/d/1C3CXT74ZlgGe6_JY_1olB1XN4rF0dxEuIIF-xsYjHgg/edit?usp=sharing"",""พรบ!AQ90"")"),0)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IFERROR(__xludf.DUMMYFUNCTION("IMPORTRANGE(""https://docs.google.com/spreadsheets/d/1C3CXT74ZlgGe6_JY_1olB1XN4rF0dxEuIIF-xsYjHgg/edit?usp=sharing"",""กปร!G90"")"),0)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IFERROR(__xludf.DUMMYFUNCTION("IMPORTRANGE(""https://docs.google.com/spreadsheets/d/1C3CXT74ZlgGe6_JY_1olB1XN4rF0dxEuIIF-xsYjHgg/edit?usp=sharing"",""พรบ!AR90"")"),0)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IFERROR(__xludf.DUMMYFUNCTION("IMPORTRANGE(""https://docs.google.com/spreadsheets/d/1C3CXT74ZlgGe6_JY_1olB1XN4rF0dxEuIIF-xsYjHgg/edit?usp=sharing"",""พรบ!AS90"")"),0)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IFERROR(__xludf.DUMMYFUNCTION("IMPORTRANGE(""https://docs.google.com/spreadsheets/d/1C3CXT74ZlgGe6_JY_1olB1XN4rF0dxEuIIF-xsYjHgg/edit?usp=sharing"",""กปร!H90"")"),0)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IFERROR(__xludf.DUMMYFUNCTION("IMPORTRANGE(""https://docs.google.com/spreadsheets/d/1C3CXT74ZlgGe6_JY_1olB1XN4rF0dxEuIIF-xsYjHgg/edit?usp=sharing"",""พรบ!AT90"")"),0)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IFERROR(__xludf.DUMMYFUNCTION("IMPORTRANGE(""https://docs.google.com/spreadsheets/d/1C3CXT74ZlgGe6_JY_1olB1XN4rF0dxEuIIF-xsYjHgg/edit?usp=sharing"",""กปร!I90"")"),0)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IFERROR(__xludf.DUMMYFUNCTION("IMPORTRANGE(""https://docs.google.com/spreadsheets/d/1C3CXT74ZlgGe6_JY_1olB1XN4rF0dxEuIIF-xsYjHgg/edit?usp=sharing"",""พรบ!AU90"")"),0)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IFERROR(__xludf.DUMMYFUNCTION("IMPORTRANGE(""https://docs.google.com/spreadsheets/d/1C3CXT74ZlgGe6_JY_1olB1XN4rF0dxEuIIF-xsYjHgg/edit?usp=sharing"",""กปร!J90"")"),0)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IFERROR(__xludf.DUMMYFUNCTION("IMPORTRANGE(""https://docs.google.com/spreadsheets/d/1C3CXT74ZlgGe6_JY_1olB1XN4rF0dxEuIIF-xsYjHgg/edit?usp=sharing"",""พรบ!AY90"")"),21125)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IFERROR(__xludf.DUMMYFUNCTION("IMPORTRANGE(""https://docs.google.com/spreadsheets/d/1C3CXT74ZlgGe6_JY_1olB1XN4rF0dxEuIIF-xsYjHgg/edit?usp=sharing"",""พรบ!BA90"")"),15)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IFERROR(__xludf.DUMMYFUNCTION("IMPORTRANGE(""https://docs.google.com/spreadsheets/d/1C3CXT74ZlgGe6_JY_1olB1XN4rF0dxEuIIF-xsYjHgg/edit?usp=sharing"",""พรบ!BD90"")"),0)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IFERROR(__xludf.DUMMYFUNCTION("IMPORTRANGE(""https://docs.google.com/spreadsheets/d/1C3CXT74ZlgGe6_JY_1olB1XN4rF0dxEuIIF-xsYjHgg/edit?usp=sharing"",""พรบ!BE90"")"),0)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IFERROR(__xludf.DUMMYFUNCTION("IMPORTRANGE(""https://docs.google.com/spreadsheets/d/1C3CXT74ZlgGe6_JY_1olB1XN4rF0dxEuIIF-xsYjHgg/edit?usp=sharing"",""พรบ!BF90"")"),0)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IFERROR(__xludf.DUMMYFUNCTION("IMPORTRANGE(""https://docs.google.com/spreadsheets/d/1C3CXT74ZlgGe6_JY_1olB1XN4rF0dxEuIIF-xsYjHgg/edit?usp=sharing"",""พรบ!BG90"")"),0)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IFERROR(__xludf.DUMMYFUNCTION("IMPORTRANGE(""https://docs.google.com/spreadsheets/d/1C3CXT74ZlgGe6_JY_1olB1XN4rF0dxEuIIF-xsYjHgg/edit?usp=sharing"",""พรบ!BH90"")"),0)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IFERROR(__xludf.DUMMYFUNCTION("IMPORTRANGE(""https://docs.google.com/spreadsheets/d/1C3CXT74ZlgGe6_JY_1olB1XN4rF0dxEuIIF-xsYjHgg/edit?usp=sharing"",""พรบ!BI90"")"),0)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IFERROR(__xludf.DUMMYFUNCTION("IMPORTRANGE(""https://docs.google.com/spreadsheets/d/1C3CXT74ZlgGe6_JY_1olB1XN4rF0dxEuIIF-xsYjHgg/edit?usp=sharing"",""พรบ!BK90"")"),0)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IFERROR(__xludf.DUMMYFUNCTION("IMPORTRANGE(""https://docs.google.com/spreadsheets/d/1C3CXT74ZlgGe6_JY_1olB1XN4rF0dxEuIIF-xsYjHgg/edit?usp=sharing"",""พรบ!BL90"")"),0)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IFERROR(__xludf.DUMMYFUNCTION("IMPORTRANGE(""https://docs.google.com/spreadsheets/d/1C3CXT74ZlgGe6_JY_1olB1XN4rF0dxEuIIF-xsYjHgg/edit?usp=sharing"",""พรบ!BM90"")"),0)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IFERROR(__xludf.DUMMYFUNCTION("IMPORTRANGE(""https://docs.google.com/spreadsheets/d/1C3CXT74ZlgGe6_JY_1olB1XN4rF0dxEuIIF-xsYjHgg/edit?usp=sharing"",""พรบ!BP90"")"),0)</f>
        <v>0</v>
      </c>
      <c r="M203" s="58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IFERROR(__xludf.DUMMYFUNCTION("IMPORTRANGE(""https://docs.google.com/spreadsheets/d/1C3CXT74ZlgGe6_JY_1olB1XN4rF0dxEuIIF-xsYjHgg/edit?usp=sharing"",""พรบ!BQ90"")"),0)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IFERROR(__xludf.DUMMYFUNCTION("IMPORTRANGE(""https://docs.google.com/spreadsheets/d/1C3CXT74ZlgGe6_JY_1olB1XN4rF0dxEuIIF-xsYjHgg/edit?usp=sharing"",""พรบ!BR90"")"),0)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IFERROR(__xludf.DUMMYFUNCTION("IMPORTRANGE(""https://docs.google.com/spreadsheets/d/1C3CXT74ZlgGe6_JY_1olB1XN4rF0dxEuIIF-xsYjHgg/edit?usp=sharing"",""พรบ!BU90"")"),0)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IFERROR(__xludf.DUMMYFUNCTION("IMPORTRANGE(""https://docs.google.com/spreadsheets/d/1C3CXT74ZlgGe6_JY_1olB1XN4rF0dxEuIIF-xsYjHgg/edit?usp=sharing"",""พรบ!BV90"")"),0)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100</v>
      </c>
      <c r="J228" s="212">
        <f ca="1">J240</f>
        <v>0</v>
      </c>
      <c r="K228" s="192">
        <f ca="1">IF(I228&gt;0,J228*100/I228,0)</f>
        <v>0</v>
      </c>
      <c r="L228" s="193">
        <f ca="1">L229+L230</f>
        <v>891050</v>
      </c>
      <c r="M228" s="193">
        <f>SUM(M229:M230)</f>
        <v>0</v>
      </c>
      <c r="N228" s="192">
        <f ca="1">IF(L228&gt;0,M228*100/L228,0)</f>
        <v>0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891050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IFERROR(__xludf.DUMMYFUNCTION("IMPORTRANGE(""https://docs.google.com/spreadsheets/d/1C3CXT74ZlgGe6_JY_1olB1XN4rF0dxEuIIF-xsYjHgg/edit?usp=sharing"",""พรบ!BX90"")"),624000)</f>
        <v>624000</v>
      </c>
      <c r="M231" s="59">
        <v>0</v>
      </c>
      <c r="N231" s="58">
        <f t="shared" ca="1" si="50"/>
        <v>0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IFERROR(__xludf.DUMMYFUNCTION("IMPORTRANGE(""https://docs.google.com/spreadsheets/d/1C3CXT74ZlgGe6_JY_1olB1XN4rF0dxEuIIF-xsYjHgg/edit?usp=sharing"",""พรบ!BY90"")"),267050)</f>
        <v>267050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IFERROR(__xludf.DUMMYFUNCTION("IMPORTRANGE(""https://docs.google.com/spreadsheets/d/1AGHcLOeeYFL3K4b9R1dSzyJy00PE_ra89DNTVfnxSWM/edit?usp=sharing"",""รวมที่ทำกิน!J79"")"),13)</f>
        <v>13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IFERROR(__xludf.DUMMYFUNCTION("IMPORTRANGE(""https://docs.google.com/spreadsheets/d/1C3CXT74ZlgGe6_JY_1olB1XN4rF0dxEuIIF-xsYjHgg/edit?usp=sharing"",""พรบ!BZ90"")"),1040)</f>
        <v>1040</v>
      </c>
      <c r="J235" s="73">
        <f ca="1">IFERROR(__xludf.DUMMYFUNCTION("IMPORTRANGE(""https://docs.google.com/spreadsheets/d/1AGHcLOeeYFL3K4b9R1dSzyJy00PE_ra89DNTVfnxSWM/edit?usp=sharing"",""รวมที่ทำกิน!L79"")"),112.5)</f>
        <v>112.5</v>
      </c>
      <c r="K235" s="215">
        <f t="shared" ca="1" si="52"/>
        <v>10.817307692307692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IFERROR(__xludf.DUMMYFUNCTION("IMPORTRANGE(""https://docs.google.com/spreadsheets/d/1C3CXT74ZlgGe6_JY_1olB1XN4rF0dxEuIIF-xsYjHgg/edit?usp=sharing"",""พรบ!CA90"")"),100)</f>
        <v>100</v>
      </c>
      <c r="J236" s="73">
        <f ca="1">IFERROR(__xludf.DUMMYFUNCTION("IMPORTRANGE(""https://docs.google.com/spreadsheets/d/1AGHcLOeeYFL3K4b9R1dSzyJy00PE_ra89DNTVfnxSWM/edit?usp=sharing"",""รวมที่ทำกิน!O79"")"),13)</f>
        <v>13</v>
      </c>
      <c r="K236" s="215">
        <f t="shared" ca="1" si="52"/>
        <v>13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IFERROR(__xludf.DUMMYFUNCTION("IMPORTRANGE(""https://docs.google.com/spreadsheets/d/1AGHcLOeeYFL3K4b9R1dSzyJy00PE_ra89DNTVfnxSWM/edit?usp=sharing"",""รวมที่ทำกิน!Q79"")"),112.5)</f>
        <v>112.5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IFERROR(__xludf.DUMMYFUNCTION("IMPORTRANGE(""https://docs.google.com/spreadsheets/d/1C3CXT74ZlgGe6_JY_1olB1XN4rF0dxEuIIF-xsYjHgg/edit?usp=sharing"",""พรบ!CB90"")"),100)</f>
        <v>100</v>
      </c>
      <c r="J238" s="73">
        <f ca="1">IFERROR(__xludf.DUMMYFUNCTION("IMPORTRANGE(""https://docs.google.com/spreadsheets/d/1AGHcLOeeYFL3K4b9R1dSzyJy00PE_ra89DNTVfnxSWM/edit?usp=sharing"",""รวมที่ทำกิน!S79"")"),0)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IFERROR(__xludf.DUMMYFUNCTION("IMPORTRANGE(""https://docs.google.com/spreadsheets/d/1AGHcLOeeYFL3K4b9R1dSzyJy00PE_ra89DNTVfnxSWM/edit?usp=sharing"",""รวมที่ทำกิน!U79"")"),0)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IFERROR(__xludf.DUMMYFUNCTION("IMPORTRANGE(""https://docs.google.com/spreadsheets/d/1C3CXT74ZlgGe6_JY_1olB1XN4rF0dxEuIIF-xsYjHgg/edit?usp=sharing"",""พรบ!CC90"")"),100)</f>
        <v>100</v>
      </c>
      <c r="J240" s="73">
        <f ca="1">IFERROR(__xludf.DUMMYFUNCTION("IMPORTRANGE(""https://docs.google.com/spreadsheets/d/1AGHcLOeeYFL3K4b9R1dSzyJy00PE_ra89DNTVfnxSWM/edit?usp=sharing"",""รวมที่ทำกิน!W79"")"),0)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IFERROR(__xludf.DUMMYFUNCTION("IMPORTRANGE(""https://docs.google.com/spreadsheets/d/1AGHcLOeeYFL3K4b9R1dSzyJy00PE_ra89DNTVfnxSWM/edit?usp=sharing"",""รวมที่ทำกิน!Y79"")"),0)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605667</v>
      </c>
      <c r="M242" s="230">
        <f t="shared" si="53"/>
        <v>48990.46</v>
      </c>
      <c r="N242" s="230">
        <f ca="1">+IF(L242&gt;0,M242*100/L242,0)</f>
        <v>8.0886790926367134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73" t="s">
        <v>21</v>
      </c>
      <c r="J246" s="73"/>
      <c r="K246" s="250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73"/>
      <c r="J247" s="73"/>
      <c r="K247" s="250"/>
      <c r="L247" s="55">
        <f t="shared" ref="L247:M247" ca="1" si="59">SUM(L248:L249)</f>
        <v>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73"/>
      <c r="J248" s="73"/>
      <c r="K248" s="250"/>
      <c r="L248" s="58">
        <f ca="1">IFERROR(__xludf.DUMMYFUNCTION("IMPORTRANGE(""https://docs.google.com/spreadsheets/d/1C3CXT74ZlgGe6_JY_1olB1XN4rF0dxEuIIF-xsYjHgg/edit?usp=sharing"",""งบกองทุน!d90"")"),0)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73"/>
      <c r="J249" s="73"/>
      <c r="K249" s="250"/>
      <c r="L249" s="58">
        <f ca="1">IFERROR(__xludf.DUMMYFUNCTION("IMPORTRANGE(""https://docs.google.com/spreadsheets/d/1C3CXT74ZlgGe6_JY_1olB1XN4rF0dxEuIIF-xsYjHgg/edit?usp=sharing"",""งบกองทุน!e90"")"),0)</f>
        <v>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8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8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8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8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73"/>
      <c r="J254" s="73"/>
      <c r="K254" s="250"/>
      <c r="L254" s="58"/>
      <c r="M254" s="58"/>
      <c r="N254" s="58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3">
        <v>0</v>
      </c>
      <c r="K255" s="250"/>
      <c r="L255" s="58"/>
      <c r="M255" s="58"/>
      <c r="N255" s="58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3">
        <v>0</v>
      </c>
      <c r="K256" s="250"/>
      <c r="L256" s="58" t="s">
        <v>21</v>
      </c>
      <c r="M256" s="58" t="s">
        <v>21</v>
      </c>
      <c r="N256" s="58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3">
        <v>0</v>
      </c>
      <c r="K257" s="250"/>
      <c r="L257" s="58"/>
      <c r="M257" s="58"/>
      <c r="N257" s="58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3">
        <v>0</v>
      </c>
      <c r="K258" s="250"/>
      <c r="L258" s="58"/>
      <c r="M258" s="58"/>
      <c r="N258" s="58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250"/>
      <c r="L259" s="58"/>
      <c r="M259" s="58"/>
      <c r="N259" s="58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IFERROR(__xludf.DUMMYFUNCTION("IMPORTRANGE(""https://docs.google.com/spreadsheets/d/1C3CXT74ZlgGe6_JY_1olB1XN4rF0dxEuIIF-xsYjHgg/edit?usp=sharing"",""งบกองทุน!f90"")"),0)</f>
        <v>0</v>
      </c>
      <c r="J260" s="73">
        <v>0</v>
      </c>
      <c r="K260" s="250">
        <f ca="1">IF(I260&gt;0,J260*100/I260,0)</f>
        <v>0</v>
      </c>
      <c r="L260" s="58"/>
      <c r="M260" s="58"/>
      <c r="N260" s="58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73"/>
      <c r="J261" s="73"/>
      <c r="K261" s="250"/>
      <c r="L261" s="58"/>
      <c r="M261" s="58"/>
      <c r="N261" s="58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0</v>
      </c>
      <c r="J262" s="73">
        <f t="shared" si="60"/>
        <v>0</v>
      </c>
      <c r="K262" s="250">
        <f t="shared" ref="K262:K268" ca="1" si="61">IF(I262&gt;0,J262*100/I262,0)</f>
        <v>0</v>
      </c>
      <c r="L262" s="58"/>
      <c r="M262" s="58"/>
      <c r="N262" s="58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73">
        <f ca="1">IFERROR(__xludf.DUMMYFUNCTION("IMPORTRANGE(""https://docs.google.com/spreadsheets/d/1C3CXT74ZlgGe6_JY_1olB1XN4rF0dxEuIIF-xsYjHgg/edit?usp=sharing"",""งบกองทุน!H90"")"),0)</f>
        <v>0</v>
      </c>
      <c r="J263" s="73">
        <f>J267</f>
        <v>0</v>
      </c>
      <c r="K263" s="250">
        <f t="shared" ca="1" si="61"/>
        <v>0</v>
      </c>
      <c r="L263" s="58"/>
      <c r="M263" s="58"/>
      <c r="N263" s="58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73">
        <f ca="1">IFERROR(__xludf.DUMMYFUNCTION("IMPORTRANGE(""https://docs.google.com/spreadsheets/d/1C3CXT74ZlgGe6_JY_1olB1XN4rF0dxEuIIF-xsYjHgg/edit?usp=sharing"",""งบกองทุน!i90"")"),0)</f>
        <v>0</v>
      </c>
      <c r="J264" s="73">
        <v>0</v>
      </c>
      <c r="K264" s="250">
        <f t="shared" ca="1" si="61"/>
        <v>0</v>
      </c>
      <c r="L264" s="58"/>
      <c r="M264" s="58"/>
      <c r="N264" s="58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73">
        <f ca="1">I263</f>
        <v>0</v>
      </c>
      <c r="J265" s="73">
        <v>0</v>
      </c>
      <c r="K265" s="250">
        <f t="shared" ca="1" si="61"/>
        <v>0</v>
      </c>
      <c r="L265" s="58"/>
      <c r="M265" s="58"/>
      <c r="N265" s="58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73">
        <f ca="1">IFERROR(__xludf.DUMMYFUNCTION("IMPORTRANGE(""https://docs.google.com/spreadsheets/d/1C3CXT74ZlgGe6_JY_1olB1XN4rF0dxEuIIF-xsYjHgg/edit?usp=sharing"",""งบกองทุน!k90"")"),0)</f>
        <v>0</v>
      </c>
      <c r="J266" s="73">
        <v>0</v>
      </c>
      <c r="K266" s="250">
        <f t="shared" ca="1" si="61"/>
        <v>0</v>
      </c>
      <c r="L266" s="58"/>
      <c r="M266" s="58"/>
      <c r="N266" s="58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73">
        <f ca="1">I263</f>
        <v>0</v>
      </c>
      <c r="J267" s="73">
        <v>0</v>
      </c>
      <c r="K267" s="250">
        <f t="shared" ca="1" si="61"/>
        <v>0</v>
      </c>
      <c r="L267" s="58"/>
      <c r="M267" s="58"/>
      <c r="N267" s="58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IFERROR(__xludf.DUMMYFUNCTION("IMPORTRANGE(""https://docs.google.com/spreadsheets/d/1C3CXT74ZlgGe6_JY_1olB1XN4rF0dxEuIIF-xsYjHgg/edit?usp=sharing"",""งบกองทุน!m90"")"),0)</f>
        <v>0</v>
      </c>
      <c r="J268" s="73">
        <v>0</v>
      </c>
      <c r="K268" s="250">
        <f t="shared" ca="1" si="61"/>
        <v>0</v>
      </c>
      <c r="L268" s="58"/>
      <c r="M268" s="58"/>
      <c r="N268" s="58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250"/>
      <c r="L269" s="58"/>
      <c r="M269" s="58"/>
      <c r="N269" s="58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0</v>
      </c>
      <c r="J270" s="73">
        <f t="shared" si="62"/>
        <v>0</v>
      </c>
      <c r="K270" s="250">
        <f t="shared" ref="K270:K272" ca="1" si="63">IF(I270&gt;0,J270*100/I270,0)</f>
        <v>0</v>
      </c>
      <c r="L270" s="58"/>
      <c r="M270" s="58"/>
      <c r="N270" s="58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IFERROR(__xludf.DUMMYFUNCTION("IMPORTRANGE(""https://docs.google.com/spreadsheets/d/1C3CXT74ZlgGe6_JY_1olB1XN4rF0dxEuIIF-xsYjHgg/edit?usp=sharing"",""งบกองทุน!o90"")"),0)</f>
        <v>0</v>
      </c>
      <c r="J271" s="73">
        <v>0</v>
      </c>
      <c r="K271" s="250">
        <f t="shared" ca="1" si="63"/>
        <v>0</v>
      </c>
      <c r="L271" s="58"/>
      <c r="M271" s="58"/>
      <c r="N271" s="58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IFERROR(__xludf.DUMMYFUNCTION("IMPORTRANGE(""https://docs.google.com/spreadsheets/d/1C3CXT74ZlgGe6_JY_1olB1XN4rF0dxEuIIF-xsYjHgg/edit?usp=sharing"",""งบกองทุน!p90"")"),0)</f>
        <v>0</v>
      </c>
      <c r="J272" s="73">
        <v>0</v>
      </c>
      <c r="K272" s="250">
        <f t="shared" ca="1" si="63"/>
        <v>0</v>
      </c>
      <c r="L272" s="58"/>
      <c r="M272" s="58"/>
      <c r="N272" s="58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3">
        <v>0</v>
      </c>
      <c r="K273" s="250"/>
      <c r="L273" s="58"/>
      <c r="M273" s="58"/>
      <c r="N273" s="58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380">
        <v>0</v>
      </c>
      <c r="K274" s="250"/>
      <c r="L274" s="58"/>
      <c r="M274" s="58"/>
      <c r="N274" s="58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150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167610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15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167610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IFERROR(__xludf.DUMMYFUNCTION("IMPORTRANGE(""https://docs.google.com/spreadsheets/d/1C3CXT74ZlgGe6_JY_1olB1XN4rF0dxEuIIF-xsYjHgg/edit?usp=sharing"",""งบกองทุน!r90"")"),0)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IFERROR(__xludf.DUMMYFUNCTION("IMPORTRANGE(""https://docs.google.com/spreadsheets/d/1C3CXT74ZlgGe6_JY_1olB1XN4rF0dxEuIIF-xsYjHgg/edit?usp=sharing"",""งบกองทุน!s90"")"),167610)</f>
        <v>167610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IFERROR(__xludf.DUMMYFUNCTION("IMPORTRANGE(""https://docs.google.com/spreadsheets/d/1C3CXT74ZlgGe6_JY_1olB1XN4rF0dxEuIIF-xsYjHgg/edit?usp=sharing"",""งบกองทุน!v90"")"),15)</f>
        <v>15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IFERROR(__xludf.DUMMYFUNCTION("IMPORTRANGE(""https://docs.google.com/spreadsheets/d/1C3CXT74ZlgGe6_JY_1olB1XN4rF0dxEuIIF-xsYjHgg/edit?usp=sharing"",""งบกองทุน!w90"")"),150)</f>
        <v>150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IFERROR(__xludf.DUMMYFUNCTION("IMPORTRANGE(""https://docs.google.com/spreadsheets/d/1C3CXT74ZlgGe6_JY_1olB1XN4rF0dxEuIIF-xsYjHgg/edit?usp=sharing"",""งบกองทุน!x90"")"),15)</f>
        <v>15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105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131710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131710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IFERROR(__xludf.DUMMYFUNCTION("IMPORTRANGE(""https://docs.google.com/spreadsheets/d/1C3CXT74ZlgGe6_JY_1olB1XN4rF0dxEuIIF-xsYjHgg/edit?usp=sharing"",""งบกองทุน!z90"")"),0)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IFERROR(__xludf.DUMMYFUNCTION("IMPORTRANGE(""https://docs.google.com/spreadsheets/d/1C3CXT74ZlgGe6_JY_1olB1XN4rF0dxEuIIF-xsYjHgg/edit?usp=sharing"",""งบกองทุน!aa90"")"),131710)</f>
        <v>131710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35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IFERROR(__xludf.DUMMYFUNCTION("IMPORTRANGE(""https://docs.google.com/spreadsheets/d/1C3CXT74ZlgGe6_JY_1olB1XN4rF0dxEuIIF-xsYjHgg/edit?usp=sharing"",""งบกองทุน!ae90"")"),10)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IFERROR(__xludf.DUMMYFUNCTION("IMPORTRANGE(""https://docs.google.com/spreadsheets/d/1C3CXT74ZlgGe6_JY_1olB1XN4rF0dxEuIIF-xsYjHgg/edit?usp=sharing"",""งบกองทุน!ad90"")"),30)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IFERROR(__xludf.DUMMYFUNCTION("IMPORTRANGE(""https://docs.google.com/spreadsheets/d/1C3CXT74ZlgGe6_JY_1olB1XN4rF0dxEuIIF-xsYjHgg/edit?usp=sharing"",""งบกองทุน!af90"")"),10)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IFERROR(__xludf.DUMMYFUNCTION("IMPORTRANGE(""https://docs.google.com/spreadsheets/d/1C3CXT74ZlgGe6_JY_1olB1XN4rF0dxEuIIF-xsYjHgg/edit?usp=sharing"",""งบกองทุน!ag90"")"),10)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IFERROR(__xludf.DUMMYFUNCTION("IMPORTRANGE(""https://docs.google.com/spreadsheets/d/1C3CXT74ZlgGe6_JY_1olB1XN4rF0dxEuIIF-xsYjHgg/edit?usp=sharing"",""งบกองทุน!ai90"")"),15)</f>
        <v>15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IFERROR(__xludf.DUMMYFUNCTION("IMPORTRANGE(""https://docs.google.com/spreadsheets/d/1C3CXT74ZlgGe6_JY_1olB1XN4rF0dxEuIIF-xsYjHgg/edit?usp=sharing"",""งบกองทุน!ah90"")"),45)</f>
        <v>45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IFERROR(__xludf.DUMMYFUNCTION("IMPORTRANGE(""https://docs.google.com/spreadsheets/d/1C3CXT74ZlgGe6_JY_1olB1XN4rF0dxEuIIF-xsYjHgg/edit?usp=sharing"",""งบกองทุน!aj90"")"),15)</f>
        <v>15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IFERROR(__xludf.DUMMYFUNCTION("IMPORTRANGE(""https://docs.google.com/spreadsheets/d/1C3CXT74ZlgGe6_JY_1olB1XN4rF0dxEuIIF-xsYjHgg/edit?usp=sharing"",""งบกองทุน!ak90"")"),15)</f>
        <v>15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IFERROR(__xludf.DUMMYFUNCTION("IMPORTRANGE(""https://docs.google.com/spreadsheets/d/1C3CXT74ZlgGe6_JY_1olB1XN4rF0dxEuIIF-xsYjHgg/edit?usp=sharing"",""งบกองทุน!al90"")"),15)</f>
        <v>15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IFERROR(__xludf.DUMMYFUNCTION("IMPORTRANGE(""https://docs.google.com/spreadsheets/d/1C3CXT74ZlgGe6_JY_1olB1XN4rF0dxEuIIF-xsYjHgg/edit?usp=sharing"",""งบกองทุน!an90"")"),10)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IFERROR(__xludf.DUMMYFUNCTION("IMPORTRANGE(""https://docs.google.com/spreadsheets/d/1C3CXT74ZlgGe6_JY_1olB1XN4rF0dxEuIIF-xsYjHgg/edit?usp=sharing"",""งบกองทุน!am90"")"),30)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IFERROR(__xludf.DUMMYFUNCTION("IMPORTRANGE(""https://docs.google.com/spreadsheets/d/1C3CXT74ZlgGe6_JY_1olB1XN4rF0dxEuIIF-xsYjHgg/edit?usp=sharing"",""งบกองทุน!ao90"")"),10)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IFERROR(__xludf.DUMMYFUNCTION("IMPORTRANGE(""https://docs.google.com/spreadsheets/d/1C3CXT74ZlgGe6_JY_1olB1XN4rF0dxEuIIF-xsYjHgg/edit?usp=sharing"",""งบกองทุน!ap90"")"),10)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25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IFERROR(__xludf.DUMMYFUNCTION("IMPORTRANGE(""https://docs.google.com/spreadsheets/d/1C3CXT74ZlgGe6_JY_1olB1XN4rF0dxEuIIF-xsYjHgg/edit?usp=sharing"",""งบกองทุน!ar90"")"),10)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IFERROR(__xludf.DUMMYFUNCTION("IMPORTRANGE(""https://docs.google.com/spreadsheets/d/1C3CXT74ZlgGe6_JY_1olB1XN4rF0dxEuIIF-xsYjHgg/edit?usp=sharing"",""งบกองทุน!as90"")"),15)</f>
        <v>15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10</v>
      </c>
      <c r="K330" s="276">
        <f ca="1">IF(I330&gt;0,J330*100/I330,0)</f>
        <v>100</v>
      </c>
      <c r="L330" s="277">
        <f t="shared" ref="L330:M330" ca="1" si="76">SUM(L331:L332)</f>
        <v>71000</v>
      </c>
      <c r="M330" s="277">
        <f t="shared" si="76"/>
        <v>21105</v>
      </c>
      <c r="N330" s="277">
        <f t="shared" ref="N330:N334" ca="1" si="77">+IF(L330&gt;0,M330*100/L330,0)</f>
        <v>29.725352112676056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71000</v>
      </c>
      <c r="M332" s="58">
        <f t="shared" si="78"/>
        <v>21105</v>
      </c>
      <c r="N332" s="58">
        <f t="shared" ca="1" si="77"/>
        <v>29.725352112676056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IFERROR(__xludf.DUMMYFUNCTION("IMPORTRANGE(""https://docs.google.com/spreadsheets/d/1C3CXT74ZlgGe6_JY_1olB1XN4rF0dxEuIIF-xsYjHgg/edit?usp=sharing"",""งบกองทุน!au90"")"),0)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IFERROR(__xludf.DUMMYFUNCTION("IMPORTRANGE(""https://docs.google.com/spreadsheets/d/1C3CXT74ZlgGe6_JY_1olB1XN4rF0dxEuIIF-xsYjHgg/edit?usp=sharing"",""งบกองทุน!av90"")"),71000)</f>
        <v>71000</v>
      </c>
      <c r="M334" s="58">
        <f>SUM(M335:M338)</f>
        <v>21105</v>
      </c>
      <c r="N334" s="58">
        <f t="shared" ca="1" si="77"/>
        <v>29.725352112676056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9105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12000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10</v>
      </c>
      <c r="J344" s="84">
        <f t="shared" si="79"/>
        <v>10</v>
      </c>
      <c r="K344" s="54">
        <f t="shared" ref="K344:K347" ca="1" si="80">IF(I344&gt;0,J344*100/I344,0)</f>
        <v>100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IFERROR(__xludf.DUMMYFUNCTION("IMPORTRANGE(""https://docs.google.com/spreadsheets/d/1C3CXT74ZlgGe6_JY_1olB1XN4rF0dxEuIIF-xsYjHgg/edit?usp=sharing"",""งบกองทุน!ay90"")"),10)</f>
        <v>10</v>
      </c>
      <c r="J345" s="74">
        <v>10</v>
      </c>
      <c r="K345" s="54">
        <f t="shared" ca="1" si="80"/>
        <v>100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IFERROR(__xludf.DUMMYFUNCTION("IMPORTRANGE(""https://docs.google.com/spreadsheets/d/1C3CXT74ZlgGe6_JY_1olB1XN4rF0dxEuIIF-xsYjHgg/edit?usp=sharing"",""งบกองทุน!az90"")"),0)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IFERROR(__xludf.DUMMYFUNCTION("IMPORTRANGE(""https://docs.google.com/spreadsheets/d/1C3CXT74ZlgGe6_JY_1olB1XN4rF0dxEuIIF-xsYjHgg/edit?usp=sharing"",""งบกองทุน!Ba90"")"),0)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4728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77877</v>
      </c>
      <c r="M350" s="246">
        <f t="shared" si="81"/>
        <v>0</v>
      </c>
      <c r="N350" s="246">
        <f t="shared" ref="N350:N354" ca="1" si="82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77877</v>
      </c>
      <c r="M352" s="58">
        <f t="shared" si="83"/>
        <v>0</v>
      </c>
      <c r="N352" s="58">
        <f t="shared" ca="1" si="82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IFERROR(__xludf.DUMMYFUNCTION("IMPORTRANGE(""https://docs.google.com/spreadsheets/d/1C3CXT74ZlgGe6_JY_1olB1XN4rF0dxEuIIF-xsYjHgg/edit?usp=sharing"",""งบกองทุน!Bc90"")"),0)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IFERROR(__xludf.DUMMYFUNCTION("IMPORTRANGE(""https://docs.google.com/spreadsheets/d/1C3CXT74ZlgGe6_JY_1olB1XN4rF0dxEuIIF-xsYjHgg/edit?usp=sharing"",""งบกองทุน!Bd90"")"),77877)</f>
        <v>77877</v>
      </c>
      <c r="M354" s="58">
        <f>SUM(M355:M358)</f>
        <v>0</v>
      </c>
      <c r="N354" s="58">
        <f t="shared" ca="1" si="82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IFERROR(__xludf.DUMMYFUNCTION("IMPORTRANGE(""https://docs.google.com/spreadsheets/d/1C3CXT74ZlgGe6_JY_1olB1XN4rF0dxEuIIF-xsYjHgg/edit?usp=sharing"",""งบกองทุน!BE90"")"),4728)</f>
        <v>4728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4728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IFERROR(__xludf.DUMMYFUNCTION("IMPORTRANGE(""https://docs.google.com/spreadsheets/d/1C3CXT74ZlgGe6_JY_1olB1XN4rF0dxEuIIF-xsYjHgg/edit?usp=sharing"",""งบกองทุน!BF90"")"),1357)</f>
        <v>1357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4728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1357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4728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1357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IFERROR(__xludf.DUMMYFUNCTION("IMPORTRANGE(""https://docs.google.com/spreadsheets/d/1C3CXT74ZlgGe6_JY_1olB1XN4rF0dxEuIIF-xsYjHgg/edit?usp=sharing"",""งบกองทุน!cd90"")"),0)</f>
        <v>0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IFERROR(__xludf.DUMMYFUNCTION("IMPORTRANGE(""https://docs.google.com/spreadsheets/d/1C3CXT74ZlgGe6_JY_1olB1XN4rF0dxEuIIF-xsYjHgg/edit?usp=sharing"",""งบกองทุน!cd90"")"),0)</f>
        <v>0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IFERROR(__xludf.DUMMYFUNCTION("IMPORTRANGE(""https://docs.google.com/spreadsheets/d/1C3CXT74ZlgGe6_JY_1olB1XN4rF0dxEuIIF-xsYjHgg/edit?usp=sharing"",""งบกองทุน!cc90"")"),0)</f>
        <v>0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IFERROR(__xludf.DUMMYFUNCTION("IMPORTRANGE(""https://docs.google.com/spreadsheets/d/1C3CXT74ZlgGe6_JY_1olB1XN4rF0dxEuIIF-xsYjHgg/edit?usp=sharing"",""งบกองทุน!cz90"")"),0)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IFERROR(__xludf.DUMMYFUNCTION("IMPORTRANGE(""https://docs.google.com/spreadsheets/d/1C3CXT74ZlgGe6_JY_1olB1XN4rF0dxEuIIF-xsYjHgg/edit?usp=sharing"",""งบกองทุน!cz90"")"),0)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IFERROR(__xludf.DUMMYFUNCTION("IMPORTRANGE(""https://docs.google.com/spreadsheets/d/1C3CXT74ZlgGe6_JY_1olB1XN4rF0dxEuIIF-xsYjHgg/edit?usp=sharing"",""งบกองทุน!cy90"")"),0)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IFERROR(__xludf.DUMMYFUNCTION("IMPORTRANGE(""https://docs.google.com/spreadsheets/d/1C3CXT74ZlgGe6_JY_1olB1XN4rF0dxEuIIF-xsYjHgg/edit?usp=sharing"",""งบกองทุน!db90"")"),0)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IFERROR(__xludf.DUMMYFUNCTION("IMPORTRANGE(""https://docs.google.com/spreadsheets/d/1C3CXT74ZlgGe6_JY_1olB1XN4rF0dxEuIIF-xsYjHgg/edit?usp=sharing"",""งบกองทุน!da90"")"),0)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IFERROR(__xludf.DUMMYFUNCTION("IMPORTRANGE(""https://docs.google.com/spreadsheets/d/1C3CXT74ZlgGe6_JY_1olB1XN4rF0dxEuIIF-xsYjHgg/edit?usp=sharing"",""งบกองทุน!dd90"")"),0)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IFERROR(__xludf.DUMMYFUNCTION("IMPORTRANGE(""https://docs.google.com/spreadsheets/d/1C3CXT74ZlgGe6_JY_1olB1XN4rF0dxEuIIF-xsYjHgg/edit?usp=sharing"",""งบกองทุน!dc90"")"),0)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IFERROR(__xludf.DUMMYFUNCTION("IMPORTRANGE(""https://docs.google.com/spreadsheets/d/1C3CXT74ZlgGe6_JY_1olB1XN4rF0dxEuIIF-xsYjHgg/edit?usp=sharing"",""งบกองทุน!df90"")"),0)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IFERROR(__xludf.DUMMYFUNCTION("IMPORTRANGE(""https://docs.google.com/spreadsheets/d/1C3CXT74ZlgGe6_JY_1olB1XN4rF0dxEuIIF-xsYjHgg/edit?usp=sharing"",""งบกองทุน!de90"")"),0)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16</v>
      </c>
      <c r="J426" s="275">
        <f t="shared" si="95"/>
        <v>16</v>
      </c>
      <c r="K426" s="276">
        <f ca="1">IF(I426&gt;0,J426*100/I426,0)</f>
        <v>100</v>
      </c>
      <c r="L426" s="277">
        <f t="shared" ref="L426:M426" ca="1" si="96">SUM(L427:L428)</f>
        <v>29240</v>
      </c>
      <c r="M426" s="277">
        <f t="shared" si="96"/>
        <v>16350</v>
      </c>
      <c r="N426" s="277">
        <f t="shared" ref="N426:N430" ca="1" si="97">+IF(L426&gt;0,M426*100/L426,0)</f>
        <v>55.916552667578657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29240</v>
      </c>
      <c r="M428" s="58">
        <f t="shared" si="98"/>
        <v>16350</v>
      </c>
      <c r="N428" s="58">
        <f t="shared" ca="1" si="97"/>
        <v>55.916552667578657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IFERROR(__xludf.DUMMYFUNCTION("IMPORTRANGE(""https://docs.google.com/spreadsheets/d/1C3CXT74ZlgGe6_JY_1olB1XN4rF0dxEuIIF-xsYjHgg/edit?usp=sharing"",""งบกองทุน!dn90"")"),0)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IFERROR(__xludf.DUMMYFUNCTION("IMPORTRANGE(""https://docs.google.com/spreadsheets/d/1C3CXT74ZlgGe6_JY_1olB1XN4rF0dxEuIIF-xsYjHgg/edit?usp=sharing"",""งบกองทุน!do90"")"),29240)</f>
        <v>29240</v>
      </c>
      <c r="M430" s="58">
        <f>SUM(M431:M434)</f>
        <v>16350</v>
      </c>
      <c r="N430" s="58">
        <f t="shared" ca="1" si="97"/>
        <v>55.916552667578657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11010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5340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IFERROR(__xludf.DUMMYFUNCTION("IMPORTRANGE(""https://docs.google.com/spreadsheets/d/1C3CXT74ZlgGe6_JY_1olB1XN4rF0dxEuIIF-xsYjHgg/edit?usp=sharing"",""งบกองทุน!dq90"")"),16)</f>
        <v>16</v>
      </c>
      <c r="J440" s="74">
        <v>16</v>
      </c>
      <c r="K440" s="54">
        <f t="shared" ref="K440:K441" ca="1" si="99">IF(I440&gt;0,J440*100/I440,0)</f>
        <v>100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IFERROR(__xludf.DUMMYFUNCTION("IMPORTRANGE(""https://docs.google.com/spreadsheets/d/1C3CXT74ZlgGe6_JY_1olB1XN4rF0dxEuIIF-xsYjHgg/edit?usp=sharing"",""งบกองทุน!dr90"")"),16)</f>
        <v>16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IFERROR(__xludf.DUMMYFUNCTION("IMPORTRANGE(""https://docs.google.com/spreadsheets/d/1C3CXT74ZlgGe6_JY_1olB1XN4rF0dxEuIIF-xsYjHgg/edit?usp=sharing"",""งบกองทุน!dt90"")"),0)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IFERROR(__xludf.DUMMYFUNCTION("IMPORTRANGE(""https://docs.google.com/spreadsheets/d/1C3CXT74ZlgGe6_JY_1olB1XN4rF0dxEuIIF-xsYjHgg/edit?usp=sharing"",""งบกองทุน!du90"")"),0)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IFERROR(__xludf.DUMMYFUNCTION("IMPORTRANGE(""https://docs.google.com/spreadsheets/d/1C3CXT74ZlgGe6_JY_1olB1XN4rF0dxEuIIF-xsYjHgg/edit?usp=sharing"",""งบกองทุน!dw90"")"),0)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IFERROR(__xludf.DUMMYFUNCTION("IMPORTRANGE(""https://docs.google.com/spreadsheets/d/1C3CXT74ZlgGe6_JY_1olB1XN4rF0dxEuIIF-xsYjHgg/edit?usp=sharing"",""งบกองทุน!dx90"")"),0)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IFERROR(__xludf.DUMMYFUNCTION("IMPORTRANGE(""https://docs.google.com/spreadsheets/d/1C3CXT74ZlgGe6_JY_1olB1XN4rF0dxEuIIF-xsYjHgg/edit?usp=sharing"",""งบกองทุน!dy90"")"),0)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IFERROR(__xludf.DUMMYFUNCTION("IMPORTRANGE(""https://docs.google.com/spreadsheets/d/1C3CXT74ZlgGe6_JY_1olB1XN4rF0dxEuIIF-xsYjHgg/edit?usp=sharing"",""งบกองทุน!dz90"")"),0)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150</v>
      </c>
      <c r="J457" s="244">
        <f>+J466</f>
        <v>113</v>
      </c>
      <c r="K457" s="245">
        <f t="shared" ca="1" si="104"/>
        <v>75.333333333333329</v>
      </c>
      <c r="L457" s="246">
        <f t="shared" ref="L457:M457" ca="1" si="105">SUM(L458:L459)</f>
        <v>123680</v>
      </c>
      <c r="M457" s="246">
        <f t="shared" si="105"/>
        <v>11535.46</v>
      </c>
      <c r="N457" s="246">
        <f t="shared" ref="N457:N461" ca="1" si="106">+IF(L457&gt;0,M457*100/L457,0)</f>
        <v>9.3268596377749038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123680</v>
      </c>
      <c r="M459" s="58">
        <f t="shared" si="107"/>
        <v>11535.46</v>
      </c>
      <c r="N459" s="58">
        <f t="shared" ca="1" si="106"/>
        <v>9.3268596377749038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IFERROR(__xludf.DUMMYFUNCTION("IMPORTRANGE(""https://docs.google.com/spreadsheets/d/1C3CXT74ZlgGe6_JY_1olB1XN4rF0dxEuIIF-xsYjHgg/edit?usp=sharing"",""งบกองทุน!Eb90"")"),0)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IFERROR(__xludf.DUMMYFUNCTION("IMPORTRANGE(""https://docs.google.com/spreadsheets/d/1C3CXT74ZlgGe6_JY_1olB1XN4rF0dxEuIIF-xsYjHgg/edit?usp=sharing"",""งบกองทุน!Ec90"")"),123680)</f>
        <v>123680</v>
      </c>
      <c r="M461" s="58">
        <f>SUM(M462:M465)</f>
        <v>11535.46</v>
      </c>
      <c r="N461" s="58">
        <f t="shared" ca="1" si="106"/>
        <v>9.3268596377749038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9935.4599999999991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1600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IFERROR(__xludf.DUMMYFUNCTION("IMPORTRANGE(""https://docs.google.com/spreadsheets/d/1C3CXT74ZlgGe6_JY_1olB1XN4rF0dxEuIIF-xsYjHgg/edit?usp=sharing"",""งบกองทุน!Ed90"")"),150)</f>
        <v>150</v>
      </c>
      <c r="J466" s="283">
        <f>+J469+J470+J471+J472</f>
        <v>113</v>
      </c>
      <c r="K466" s="85">
        <f ca="1">IF(I466&gt;0,J466*100/I466,0)</f>
        <v>75.333333333333329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1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29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84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IFERROR(__xludf.DUMMYFUNCTION("IMPORTRANGE(""https://docs.google.com/spreadsheets/d/1C3CXT74ZlgGe6_JY_1olB1XN4rF0dxEuIIF-xsYjHgg/edit?usp=sharing"",""งบกองทุน!Ek90"")"),0)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IFERROR(__xludf.DUMMYFUNCTION("IMPORTRANGE(""https://docs.google.com/spreadsheets/d/1C3CXT74ZlgGe6_JY_1olB1XN4rF0dxEuIIF-xsYjHgg/edit?usp=sharing"",""งบกองทุน!El90"")"),0)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IFERROR(__xludf.DUMMYFUNCTION("IMPORTRANGE(""https://docs.google.com/spreadsheets/d/1C3CXT74ZlgGe6_JY_1olB1XN4rF0dxEuIIF-xsYjHgg/edit?usp=sharing"",""งบกองทุน!Em90"")"),0)</f>
        <v>0</v>
      </c>
      <c r="J482" s="73">
        <f ca="1">IFERROR(__xludf.DUMMYFUNCTION("IMPORTRANGE(""https://docs.google.com/spreadsheets/d/1AGHcLOeeYFL3K4b9R1dSzyJy00PE_ra89DNTVfnxSWM/edit?usp=sharing"",""รวมที่ชุมชน!G79"")"),0)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f ca="1">IFERROR(__xludf.DUMMYFUNCTION("IMPORTRANGE(""https://docs.google.com/spreadsheets/d/1C3CXT74ZlgGe6_JY_1olB1XN4rF0dxEuIIF-xsYjHgg/edit?usp=sharing"",""งบกองทุน!En90"")"),0)</f>
        <v>0</v>
      </c>
      <c r="J483" s="73">
        <f ca="1">IFERROR(__xludf.DUMMYFUNCTION("IMPORTRANGE(""https://docs.google.com/spreadsheets/d/1AGHcLOeeYFL3K4b9R1dSzyJy00PE_ra89DNTVfnxSWM/edit?usp=sharing"",""รวมที่ชุมชน!H79"")"),0)</f>
        <v>0</v>
      </c>
      <c r="K483" s="250">
        <f t="shared" ca="1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IFERROR(__xludf.DUMMYFUNCTION("IMPORTRANGE(""https://docs.google.com/spreadsheets/d/1C3CXT74ZlgGe6_JY_1olB1XN4rF0dxEuIIF-xsYjHgg/edit?usp=sharing"",""งบกองทุน!Eo90"")"),0)</f>
        <v>0</v>
      </c>
      <c r="J484" s="73">
        <f ca="1">IFERROR(__xludf.DUMMYFUNCTION("IMPORTRANGE(""https://docs.google.com/spreadsheets/d/1AGHcLOeeYFL3K4b9R1dSzyJy00PE_ra89DNTVfnxSWM/edit?usp=sharing"",""รวมที่ชุมชน!J79"")"),0)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f ca="1">IFERROR(__xludf.DUMMYFUNCTION("IMPORTRANGE(""https://docs.google.com/spreadsheets/d/1C3CXT74ZlgGe6_JY_1olB1XN4rF0dxEuIIF-xsYjHgg/edit?usp=sharing"",""งบกองทุน!Ep90"")"),0)</f>
        <v>0</v>
      </c>
      <c r="J485" s="73">
        <f ca="1">IFERROR(__xludf.DUMMYFUNCTION("IMPORTRANGE(""https://docs.google.com/spreadsheets/d/1AGHcLOeeYFL3K4b9R1dSzyJy00PE_ra89DNTVfnxSWM/edit?usp=sharing"",""รวมที่ชุมชน!L79"")"),0)</f>
        <v>0</v>
      </c>
      <c r="K485" s="250">
        <f t="shared" ca="1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IFERROR(__xludf.DUMMYFUNCTION("IMPORTRANGE(""https://docs.google.com/spreadsheets/d/1C3CXT74ZlgGe6_JY_1olB1XN4rF0dxEuIIF-xsYjHgg/edit?usp=sharing"",""งบกองทุน!Eq90"")"),0)</f>
        <v>0</v>
      </c>
      <c r="J486" s="73">
        <f ca="1">IFERROR(__xludf.DUMMYFUNCTION("IMPORTRANGE(""https://docs.google.com/spreadsheets/d/1AGHcLOeeYFL3K4b9R1dSzyJy00PE_ra89DNTVfnxSWM/edit?usp=sharing"",""รวมที่ชุมชน!S79"")"),0)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f ca="1">IFERROR(__xludf.DUMMYFUNCTION("IMPORTRANGE(""https://docs.google.com/spreadsheets/d/1C3CXT74ZlgGe6_JY_1olB1XN4rF0dxEuIIF-xsYjHgg/edit?usp=sharing"",""งบกองทุน!Er90"")"),0)</f>
        <v>0</v>
      </c>
      <c r="J487" s="73">
        <f ca="1">IFERROR(__xludf.DUMMYFUNCTION("IMPORTRANGE(""https://docs.google.com/spreadsheets/d/1AGHcLOeeYFL3K4b9R1dSzyJy00PE_ra89DNTVfnxSWM/edit?usp=sharing"",""รวมที่ชุมชน!U79"")"),0)</f>
        <v>0</v>
      </c>
      <c r="K487" s="250">
        <f t="shared" ca="1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IFERROR(__xludf.DUMMYFUNCTION("IMPORTRANGE(""https://docs.google.com/spreadsheets/d/1C3CXT74ZlgGe6_JY_1olB1XN4rF0dxEuIIF-xsYjHgg/edit?usp=sharing"",""งบกองทุน!Es90"")"),0)</f>
        <v>0</v>
      </c>
      <c r="J488" s="73">
        <f ca="1">IFERROR(__xludf.DUMMYFUNCTION("IMPORTRANGE(""https://docs.google.com/spreadsheets/d/1AGHcLOeeYFL3K4b9R1dSzyJy00PE_ra89DNTVfnxSWM/edit?usp=sharing"",""รวมที่ชุมชน!V79"")"),0)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f ca="1">IFERROR(__xludf.DUMMYFUNCTION("IMPORTRANGE(""https://docs.google.com/spreadsheets/d/1C3CXT74ZlgGe6_JY_1olB1XN4rF0dxEuIIF-xsYjHgg/edit?usp=sharing"",""งบกองทุน!Et90"")"),0)</f>
        <v>0</v>
      </c>
      <c r="J489" s="120">
        <f ca="1">IFERROR(__xludf.DUMMYFUNCTION("IMPORTRANGE(""https://docs.google.com/spreadsheets/d/1AGHcLOeeYFL3K4b9R1dSzyJy00PE_ra89DNTVfnxSWM/edit?usp=sharing"",""รวมที่ชุมชน!X79"")"),0)</f>
        <v>0</v>
      </c>
      <c r="K489" s="385">
        <f t="shared" ca="1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4550</v>
      </c>
      <c r="M490" s="277">
        <f>SUM(M491:M492)</f>
        <v>0</v>
      </c>
      <c r="N490" s="277">
        <f t="shared" ref="N490:N494" ca="1" si="113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4550</v>
      </c>
      <c r="M492" s="58">
        <f t="shared" si="114"/>
        <v>0</v>
      </c>
      <c r="N492" s="58">
        <f t="shared" ca="1" si="113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IFERROR(__xludf.DUMMYFUNCTION("IMPORTRANGE(""https://docs.google.com/spreadsheets/d/1C3CXT74ZlgGe6_JY_1olB1XN4rF0dxEuIIF-xsYjHgg/edit?usp=sharing"",""งบกองทุน!Ev90"")"),0)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IFERROR(__xludf.DUMMYFUNCTION("IMPORTRANGE(""https://docs.google.com/spreadsheets/d/1C3CXT74ZlgGe6_JY_1olB1XN4rF0dxEuIIF-xsYjHgg/edit?usp=sharing"",""งบกองทุน!Ew90"")"),4550)</f>
        <v>4550</v>
      </c>
      <c r="M494" s="58">
        <f>SUM(M495:M498)</f>
        <v>0</v>
      </c>
      <c r="N494" s="58">
        <f t="shared" ca="1" si="113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IFERROR(__xludf.DUMMYFUNCTION("IMPORTRANGE(""https://docs.google.com/spreadsheets/d/1C3CXT74ZlgGe6_JY_1olB1XN4rF0dxEuIIF-xsYjHgg/edit?usp=sharing"",""งบกองทุน!EZ90"")"),50)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IFERROR(__xludf.DUMMYFUNCTION("IMPORTRANGE(""https://docs.google.com/spreadsheets/d/1C3CXT74ZlgGe6_JY_1olB1XN4rF0dxEuIIF-xsYjHgg/edit?usp=sharing"",""งบกองทุน!ff90"")"),0)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IFERROR(__xludf.DUMMYFUNCTION("IMPORTRANGE(""https://docs.google.com/spreadsheets/d/1muirlRDkqiswvy_NRZ3Yh955hx-PF6_HhssUYiSJj8o/edit?usp=sharing"",""กองทุน!D90"")"),598614.419999999)</f>
        <v>598614.41999999899</v>
      </c>
      <c r="J521" s="214">
        <f ca="1">IFERROR(__xludf.DUMMYFUNCTION("IMPORTRANGE(""https://docs.google.com/spreadsheets/d/1muirlRDkqiswvy_NRZ3Yh955hx-PF6_HhssUYiSJj8o/edit?usp=sharing"",""กองทุน!F90"")"),0)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IFERROR(__xludf.DUMMYFUNCTION("IMPORTRANGE(""https://docs.google.com/spreadsheets/d/1muirlRDkqiswvy_NRZ3Yh955hx-PF6_HhssUYiSJj8o/edit?usp=sharing"",""กองทุน!C90"")"),52)</f>
        <v>52</v>
      </c>
      <c r="J522" s="214">
        <f ca="1">IFERROR(__xludf.DUMMYFUNCTION("IMPORTRANGE(""https://docs.google.com/spreadsheets/d/1muirlRDkqiswvy_NRZ3Yh955hx-PF6_HhssUYiSJj8o/edit?usp=sharing"",""กองทุน!E90"")"),0)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IFERROR(__xludf.DUMMYFUNCTION("IMPORTRANGE(""https://docs.google.com/spreadsheets/d/1muirlRDkqiswvy_NRZ3Yh955hx-PF6_HhssUYiSJj8o/edit?usp=sharing"",""กองทุน!I90"")"),17653.7)</f>
        <v>17653.7</v>
      </c>
      <c r="J523" s="214">
        <f ca="1">IFERROR(__xludf.DUMMYFUNCTION("IMPORTRANGE(""https://docs.google.com/spreadsheets/d/1muirlRDkqiswvy_NRZ3Yh955hx-PF6_HhssUYiSJj8o/edit?usp=sharing"",""กองทุน!K90"")"),0)</f>
        <v>0</v>
      </c>
      <c r="K523" s="215">
        <f t="shared" ca="1" si="118"/>
        <v>0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IFERROR(__xludf.DUMMYFUNCTION("IMPORTRANGE(""https://docs.google.com/spreadsheets/d/1muirlRDkqiswvy_NRZ3Yh955hx-PF6_HhssUYiSJj8o/edit?usp=sharing"",""กองทุน!H90"")"),1)</f>
        <v>1</v>
      </c>
      <c r="J524" s="214">
        <f ca="1">IFERROR(__xludf.DUMMYFUNCTION("IMPORTRANGE(""https://docs.google.com/spreadsheets/d/1muirlRDkqiswvy_NRZ3Yh955hx-PF6_HhssUYiSJj8o/edit?usp=sharing"",""กองทุน!J90"")"),0)</f>
        <v>0</v>
      </c>
      <c r="K524" s="215">
        <f t="shared" ca="1" si="118"/>
        <v>0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IFERROR(__xludf.DUMMYFUNCTION("IMPORTRANGE(""https://docs.google.com/spreadsheets/d/1muirlRDkqiswvy_NRZ3Yh955hx-PF6_HhssUYiSJj8o/edit?usp=sharing"",""กองทุน!N90"")"),52342.67)</f>
        <v>52342.67</v>
      </c>
      <c r="J525" s="214">
        <f ca="1">IFERROR(__xludf.DUMMYFUNCTION("IMPORTRANGE(""https://docs.google.com/spreadsheets/d/1muirlRDkqiswvy_NRZ3Yh955hx-PF6_HhssUYiSJj8o/edit?usp=sharing"",""กองทุน!P90"")"),740.79)</f>
        <v>740.79</v>
      </c>
      <c r="K525" s="215">
        <f t="shared" ca="1" si="118"/>
        <v>1.4152697980443107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IFERROR(__xludf.DUMMYFUNCTION("IMPORTRANGE(""https://docs.google.com/spreadsheets/d/1muirlRDkqiswvy_NRZ3Yh955hx-PF6_HhssUYiSJj8o/edit?usp=sharing"",""กองทุน!M90"")"),149)</f>
        <v>149</v>
      </c>
      <c r="J526" s="214">
        <f ca="1">IFERROR(__xludf.DUMMYFUNCTION("IMPORTRANGE(""https://docs.google.com/spreadsheets/d/1muirlRDkqiswvy_NRZ3Yh955hx-PF6_HhssUYiSJj8o/edit?usp=sharing"",""กองทุน!O90"")"),4)</f>
        <v>4</v>
      </c>
      <c r="K526" s="215">
        <f t="shared" ca="1" si="118"/>
        <v>2.6845637583892619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IFERROR(__xludf.DUMMYFUNCTION("IMPORTRANGE(""https://docs.google.com/spreadsheets/d/1muirlRDkqiswvy_NRZ3Yh955hx-PF6_HhssUYiSJj8o/edit?usp=sharing"",""กองทุน!S90"")"),0)</f>
        <v>0</v>
      </c>
      <c r="J527" s="214">
        <f ca="1">IFERROR(__xludf.DUMMYFUNCTION("IMPORTRANGE(""https://docs.google.com/spreadsheets/d/1muirlRDkqiswvy_NRZ3Yh955hx-PF6_HhssUYiSJj8o/edit?usp=sharing"",""กองทุน!U90"")"),0)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IFERROR(__xludf.DUMMYFUNCTION("IMPORTRANGE(""https://docs.google.com/spreadsheets/d/1muirlRDkqiswvy_NRZ3Yh955hx-PF6_HhssUYiSJj8o/edit?usp=sharing"",""กองทุน!R90"")"),0)</f>
        <v>0</v>
      </c>
      <c r="J528" s="342">
        <f ca="1">IFERROR(__xludf.DUMMYFUNCTION("IMPORTRANGE(""https://docs.google.com/spreadsheets/d/1muirlRDkqiswvy_NRZ3Yh955hx-PF6_HhssUYiSJj8o/edit?usp=sharing"",""กองทุน!T90"")"),0)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J43" sqref="J43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233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1214345</v>
      </c>
      <c r="M6" s="18">
        <f t="shared" si="0"/>
        <v>134405</v>
      </c>
      <c r="N6" s="19">
        <f ca="1">IF(L6&gt;0,M6*100/L6,0)</f>
        <v>11.06810667479176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IFERROR(__xludf.DUMMYFUNCTION("IMPORTRANGE(""https://docs.google.com/spreadsheets/d/1C3CXT74ZlgGe6_JY_1olB1XN4rF0dxEuIIF-xsYjHgg/edit?usp=sharing"",""พรบ!C91"")"),0)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IFERROR(__xludf.DUMMYFUNCTION("IMPORTRANGE(""https://docs.google.com/spreadsheets/d/1C3CXT74ZlgGe6_JY_1olB1XN4rF0dxEuIIF-xsYjHgg/edit?usp=sharing"",""พรบ!D91"")"),0)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IFERROR(__xludf.DUMMYFUNCTION("IMPORTRANGE(""https://docs.google.com/spreadsheets/d/1C3CXT74ZlgGe6_JY_1olB1XN4rF0dxEuIIF-xsYjHgg/edit?usp=sharing"",""พรบ!E91"")"),0)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t="shared" ref="K20:K28" ca="1" si="6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79">
        <f t="shared" ca="1" si="6"/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IFERROR(__xludf.DUMMYFUNCTION("IMPORTRANGE(""https://docs.google.com/spreadsheets/d/1C3CXT74ZlgGe6_JY_1olB1XN4rF0dxEuIIF-xsYjHgg/edit?usp=sharing"",""พรบ!H91"")"),0)</f>
        <v>0</v>
      </c>
      <c r="J22" s="73">
        <v>0</v>
      </c>
      <c r="K22" s="250">
        <f t="shared" ca="1" si="6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IFERROR(__xludf.DUMMYFUNCTION("IMPORTRANGE(""https://docs.google.com/spreadsheets/d/1C3CXT74ZlgGe6_JY_1olB1XN4rF0dxEuIIF-xsYjHgg/edit?usp=sharing"",""พรบ!I91"")"),0)</f>
        <v>0</v>
      </c>
      <c r="J23" s="73">
        <v>0</v>
      </c>
      <c r="K23" s="250">
        <f t="shared" ca="1" si="6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IFERROR(__xludf.DUMMYFUNCTION("IMPORTRANGE(""https://docs.google.com/spreadsheets/d/1C3CXT74ZlgGe6_JY_1olB1XN4rF0dxEuIIF-xsYjHgg/edit?usp=sharing"",""พรบ!J91"")"),0)</f>
        <v>0</v>
      </c>
      <c r="J24" s="73">
        <v>0</v>
      </c>
      <c r="K24" s="250">
        <f t="shared" ca="1" si="6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IFERROR(__xludf.DUMMYFUNCTION("IMPORTRANGE(""https://docs.google.com/spreadsheets/d/1C3CXT74ZlgGe6_JY_1olB1XN4rF0dxEuIIF-xsYjHgg/edit?usp=sharing"",""พรบ!K91"")"),0)</f>
        <v>0</v>
      </c>
      <c r="J25" s="73">
        <v>0</v>
      </c>
      <c r="K25" s="250">
        <f t="shared" ca="1" si="6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IFERROR(__xludf.DUMMYFUNCTION("IMPORTRANGE(""https://docs.google.com/spreadsheets/d/1C3CXT74ZlgGe6_JY_1olB1XN4rF0dxEuIIF-xsYjHgg/edit?usp=sharing"",""พรบ!L91"")"),0)</f>
        <v>0</v>
      </c>
      <c r="J26" s="73">
        <v>0</v>
      </c>
      <c r="K26" s="250">
        <f t="shared" ca="1" si="6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IFERROR(__xludf.DUMMYFUNCTION("IMPORTRANGE(""https://docs.google.com/spreadsheets/d/1C3CXT74ZlgGe6_JY_1olB1XN4rF0dxEuIIF-xsYjHgg/edit?usp=sharing"",""พรบ!M91"")"),0)</f>
        <v>0</v>
      </c>
      <c r="J27" s="73">
        <v>0</v>
      </c>
      <c r="K27" s="250">
        <f t="shared" ca="1" si="6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IFERROR(__xludf.DUMMYFUNCTION("IMPORTRANGE(""https://docs.google.com/spreadsheets/d/1C3CXT74ZlgGe6_JY_1olB1XN4rF0dxEuIIF-xsYjHgg/edit?usp=sharing"",""พรบ!N91"")"),0)</f>
        <v>0</v>
      </c>
      <c r="J28" s="73">
        <v>0</v>
      </c>
      <c r="K28" s="250">
        <f t="shared" ca="1" si="6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122100</v>
      </c>
      <c r="M32" s="103">
        <f>SUM(M34:M35)</f>
        <v>1220</v>
      </c>
      <c r="N32" s="44">
        <f ca="1">IF(L32&gt;0,M32*100/L32,0)</f>
        <v>0.99918099918099923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1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IFERROR(__xludf.DUMMYFUNCTION("IMPORTRANGE(""https://docs.google.com/spreadsheets/d/1C3CXT74ZlgGe6_JY_1olB1XN4rF0dxEuIIF-xsYjHgg/edit?usp=sharing"",""พรบ!O91"")"),122100)</f>
        <v>122100</v>
      </c>
      <c r="M35" s="55">
        <f>SUM(M36:M37)</f>
        <v>1220</v>
      </c>
      <c r="N35" s="55">
        <f t="shared" ca="1" si="10"/>
        <v>0.99918099918099923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IFERROR(__xludf.DUMMYFUNCTION("IMPORTRANGE(""https://docs.google.com/spreadsheets/d/1C3CXT74ZlgGe6_JY_1olB1XN4rF0dxEuIIF-xsYjHgg/edit?usp=sharing"",""พรบ!P91"")"),0)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IFERROR(__xludf.DUMMYFUNCTION("IMPORTRANGE(""https://docs.google.com/spreadsheets/d/1C3CXT74ZlgGe6_JY_1olB1XN4rF0dxEuIIF-xsYjHgg/edit?usp=sharing"",""พรบ!Q91"")"),122100)</f>
        <v>122100</v>
      </c>
      <c r="M37" s="59">
        <v>1220</v>
      </c>
      <c r="N37" s="58">
        <f t="shared" ca="1" si="10"/>
        <v>0.99918099918099923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4">
        <v>1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4">
        <v>1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IFERROR(__xludf.DUMMYFUNCTION("IMPORTRANGE(""https://docs.google.com/spreadsheets/d/1C3CXT74ZlgGe6_JY_1olB1XN4rF0dxEuIIF-xsYjHgg/edit?usp=sharing"",""พรบ!R91"")"),1)</f>
        <v>1</v>
      </c>
      <c r="J43" s="74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IFERROR(__xludf.DUMMYFUNCTION("IMPORTRANGE(""https://docs.google.com/spreadsheets/d/1C3CXT74ZlgGe6_JY_1olB1XN4rF0dxEuIIF-xsYjHgg/edit?usp=sharing"",""พรบ!S91"")"),4)</f>
        <v>4</v>
      </c>
      <c r="J44" s="74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IFERROR(__xludf.DUMMYFUNCTION("IMPORTRANGE(""https://docs.google.com/spreadsheets/d/1C3CXT74ZlgGe6_JY_1olB1XN4rF0dxEuIIF-xsYjHgg/edit?usp=sharing"",""พรบ!T91"")"),4)</f>
        <v>4</v>
      </c>
      <c r="J45" s="74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IFERROR(__xludf.DUMMYFUNCTION("IMPORTRANGE(""https://docs.google.com/spreadsheets/d/1C3CXT74ZlgGe6_JY_1olB1XN4rF0dxEuIIF-xsYjHgg/edit?usp=sharing"",""พรบ!U91"")"),4)</f>
        <v>4</v>
      </c>
      <c r="J46" s="74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IFERROR(__xludf.DUMMYFUNCTION("IMPORTRANGE(""https://docs.google.com/spreadsheets/d/1C3CXT74ZlgGe6_JY_1olB1XN4rF0dxEuIIF-xsYjHgg/edit?usp=sharing"",""พรบ!V91"")"),4)</f>
        <v>4</v>
      </c>
      <c r="J47" s="74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IFERROR(__xludf.DUMMYFUNCTION("IMPORTRANGE(""https://docs.google.com/spreadsheets/d/1C3CXT74ZlgGe6_JY_1olB1XN4rF0dxEuIIF-xsYjHgg/edit?usp=sharing"",""พรบ!W91"")"),1)</f>
        <v>1</v>
      </c>
      <c r="J48" s="74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4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IFERROR(__xludf.DUMMYFUNCTION("IMPORTRANGE(""https://docs.google.com/spreadsheets/d/1C3CXT74ZlgGe6_JY_1olB1XN4rF0dxEuIIF-xsYjHgg/edit?usp=sharing"",""พรบ!Y91"")"),0)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IFERROR(__xludf.DUMMYFUNCTION("IMPORTRANGE(""https://docs.google.com/spreadsheets/d/1C3CXT74ZlgGe6_JY_1olB1XN4rF0dxEuIIF-xsYjHgg/edit?usp=sharing"",""พรบ!Z91"")"),0)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IFERROR(__xludf.DUMMYFUNCTION("IMPORTRANGE(""https://docs.google.com/spreadsheets/d/1C3CXT74ZlgGe6_JY_1olB1XN4rF0dxEuIIF-xsYjHgg/edit?usp=sharing"",""พรบ!AA91"")"),0)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43600</v>
      </c>
      <c r="M68" s="150">
        <f t="shared" si="16"/>
        <v>1000</v>
      </c>
      <c r="N68" s="149">
        <f ca="1">IF(L68&gt;0,M68*100/L68,0)</f>
        <v>2.2935779816513762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43600</v>
      </c>
      <c r="M71" s="151">
        <f>SUM(M72:M73)</f>
        <v>1000</v>
      </c>
      <c r="N71" s="55">
        <f t="shared" ca="1" si="17"/>
        <v>2.2935779816513762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IFERROR(__xludf.DUMMYFUNCTION("IMPORTRANGE(""https://docs.google.com/spreadsheets/d/1C3CXT74ZlgGe6_JY_1olB1XN4rF0dxEuIIF-xsYjHgg/edit?usp=sharing"",""พรบ!AD91"")"),0)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43600</v>
      </c>
      <c r="M73" s="58">
        <f t="shared" si="18"/>
        <v>1000</v>
      </c>
      <c r="N73" s="58">
        <f t="shared" ca="1" si="17"/>
        <v>2.2935779816513762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IFERROR(__xludf.DUMMYFUNCTION("IMPORTRANGE(""https://docs.google.com/spreadsheets/d/1C3CXT74ZlgGe6_JY_1olB1XN4rF0dxEuIIF-xsYjHgg/edit?usp=sharing"",""พรบ!AF91"")"),7500)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IFERROR(__xludf.DUMMYFUNCTION("IMPORTRANGE(""https://docs.google.com/spreadsheets/d/1C3CXT74ZlgGe6_JY_1olB1XN4rF0dxEuIIF-xsYjHgg/edit?usp=sharing"",""พรบ!AG91"")"),4)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1000</v>
      </c>
      <c r="N89" s="159">
        <f t="shared" ref="N89:N92" ca="1" si="22">+IF(L89&gt;0,M89*100/L89,0)</f>
        <v>3.5714285714285716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1000</v>
      </c>
      <c r="N91" s="55">
        <f t="shared" ca="1" si="22"/>
        <v>3.5714285714285716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IFERROR(__xludf.DUMMYFUNCTION("IMPORTRANGE(""https://docs.google.com/spreadsheets/d/1C3CXT74ZlgGe6_JY_1olB1XN4rF0dxEuIIF-xsYjHgg/edit?usp=sharing"",""พรบ!AH91"")"),28000)</f>
        <v>28000</v>
      </c>
      <c r="M92" s="59">
        <v>1000</v>
      </c>
      <c r="N92" s="58">
        <f t="shared" ca="1" si="22"/>
        <v>3.5714285714285716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IFERROR(__xludf.DUMMYFUNCTION("IMPORTRANGE(""https://docs.google.com/spreadsheets/d/1C3CXT74ZlgGe6_JY_1olB1XN4rF0dxEuIIF-xsYjHgg/edit?usp=sharing"",""พรบ!AI91"")"),2)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IFERROR(__xludf.DUMMYFUNCTION("IMPORTRANGE(""https://docs.google.com/spreadsheets/d/1C3CXT74ZlgGe6_JY_1olB1XN4rF0dxEuIIF-xsYjHgg/edit?usp=sharing"",""กปร!C91"")"),12000)</f>
        <v>12000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IFERROR(__xludf.DUMMYFUNCTION("IMPORTRANGE(""https://docs.google.com/spreadsheets/d/1C3CXT74ZlgGe6_JY_1olB1XN4rF0dxEuIIF-xsYjHgg/edit?usp=sharing"",""พรบ!AJ91"")"),0)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IFERROR(__xludf.DUMMYFUNCTION("IMPORTRANGE(""https://docs.google.com/spreadsheets/d/1C3CXT74ZlgGe6_JY_1olB1XN4rF0dxEuIIF-xsYjHgg/edit?usp=sharing"",""พรบ!AK91"")"),0)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IFERROR(__xludf.DUMMYFUNCTION("IMPORTRANGE(""https://docs.google.com/spreadsheets/d/1C3CXT74ZlgGe6_JY_1olB1XN4rF0dxEuIIF-xsYjHgg/edit?usp=sharing"",""กปร!D91"")"),0)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IFERROR(__xludf.DUMMYFUNCTION("IMPORTRANGE(""https://docs.google.com/spreadsheets/d/1C3CXT74ZlgGe6_JY_1olB1XN4rF0dxEuIIF-xsYjHgg/edit?usp=sharing"",""พรบ!AL91"")"),0)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IFERROR(__xludf.DUMMYFUNCTION("IMPORTRANGE(""https://docs.google.com/spreadsheets/d/1C3CXT74ZlgGe6_JY_1olB1XN4rF0dxEuIIF-xsYjHgg/edit?usp=sharing"",""กปร!E91"")"),0)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12800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8100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8100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IFERROR(__xludf.DUMMYFUNCTION("IMPORTRANGE(""https://docs.google.com/spreadsheets/d/1C3CXT74ZlgGe6_JY_1olB1XN4rF0dxEuIIF-xsYjHgg/edit?usp=sharing"",""พรบ!AM91"")"),8100)</f>
        <v>8100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IFERROR(__xludf.DUMMYFUNCTION("IMPORTRANGE(""https://docs.google.com/spreadsheets/d/1C3CXT74ZlgGe6_JY_1olB1XN4rF0dxEuIIF-xsYjHgg/edit?usp=sharing"",""พรบ!AO91"")"),12800)</f>
        <v>12800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IFERROR(__xludf.DUMMYFUNCTION("IMPORTRANGE(""https://docs.google.com/spreadsheets/d/1C3CXT74ZlgGe6_JY_1olB1XN4rF0dxEuIIF-xsYjHgg/edit?usp=sharing"",""พรบ!AP91"")"),12800)</f>
        <v>12800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IFERROR(__xludf.DUMMYFUNCTION("IMPORTRANGE(""https://docs.google.com/spreadsheets/d/1C3CXT74ZlgGe6_JY_1olB1XN4rF0dxEuIIF-xsYjHgg/edit?usp=sharing"",""กปร!F91"")"),4100)</f>
        <v>4100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IFERROR(__xludf.DUMMYFUNCTION("IMPORTRANGE(""https://docs.google.com/spreadsheets/d/1C3CXT74ZlgGe6_JY_1olB1XN4rF0dxEuIIF-xsYjHgg/edit?usp=sharing"",""พรบ!AQ91"")"),0)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IFERROR(__xludf.DUMMYFUNCTION("IMPORTRANGE(""https://docs.google.com/spreadsheets/d/1C3CXT74ZlgGe6_JY_1olB1XN4rF0dxEuIIF-xsYjHgg/edit?usp=sharing"",""กปร!G91"")"),0)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IFERROR(__xludf.DUMMYFUNCTION("IMPORTRANGE(""https://docs.google.com/spreadsheets/d/1C3CXT74ZlgGe6_JY_1olB1XN4rF0dxEuIIF-xsYjHgg/edit?usp=sharing"",""พรบ!AR91"")"),0)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IFERROR(__xludf.DUMMYFUNCTION("IMPORTRANGE(""https://docs.google.com/spreadsheets/d/1C3CXT74ZlgGe6_JY_1olB1XN4rF0dxEuIIF-xsYjHgg/edit?usp=sharing"",""พรบ!AS91"")"),0)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IFERROR(__xludf.DUMMYFUNCTION("IMPORTRANGE(""https://docs.google.com/spreadsheets/d/1C3CXT74ZlgGe6_JY_1olB1XN4rF0dxEuIIF-xsYjHgg/edit?usp=sharing"",""กปร!H91"")"),0)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IFERROR(__xludf.DUMMYFUNCTION("IMPORTRANGE(""https://docs.google.com/spreadsheets/d/1C3CXT74ZlgGe6_JY_1olB1XN4rF0dxEuIIF-xsYjHgg/edit?usp=sharing"",""พรบ!AT91"")"),0)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IFERROR(__xludf.DUMMYFUNCTION("IMPORTRANGE(""https://docs.google.com/spreadsheets/d/1C3CXT74ZlgGe6_JY_1olB1XN4rF0dxEuIIF-xsYjHgg/edit?usp=sharing"",""กปร!I91"")"),0)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IFERROR(__xludf.DUMMYFUNCTION("IMPORTRANGE(""https://docs.google.com/spreadsheets/d/1C3CXT74ZlgGe6_JY_1olB1XN4rF0dxEuIIF-xsYjHgg/edit?usp=sharing"",""พรบ!AU91"")"),0)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IFERROR(__xludf.DUMMYFUNCTION("IMPORTRANGE(""https://docs.google.com/spreadsheets/d/1C3CXT74ZlgGe6_JY_1olB1XN4rF0dxEuIIF-xsYjHgg/edit?usp=sharing"",""กปร!J91"")"),0)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13</v>
      </c>
      <c r="J144" s="148">
        <f t="shared" si="36"/>
        <v>13</v>
      </c>
      <c r="K144" s="149">
        <f ca="1">IF(I144&gt;0,J144*100/I144,0)</f>
        <v>100</v>
      </c>
      <c r="L144" s="150">
        <f ca="1">L145+L146</f>
        <v>19295</v>
      </c>
      <c r="M144" s="150">
        <f>SUM(M145:M146)</f>
        <v>19295</v>
      </c>
      <c r="N144" s="149">
        <f ca="1">IF(L144&gt;0,M144*100/L144,0)</f>
        <v>100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19295</v>
      </c>
      <c r="N146" s="55">
        <f t="shared" ca="1" si="37"/>
        <v>100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IFERROR(__xludf.DUMMYFUNCTION("IMPORTRANGE(""https://docs.google.com/spreadsheets/d/1C3CXT74ZlgGe6_JY_1olB1XN4rF0dxEuIIF-xsYjHgg/edit?usp=sharing"",""พรบ!AY91"")"),19295)</f>
        <v>19295</v>
      </c>
      <c r="M148" s="59">
        <v>19295</v>
      </c>
      <c r="N148" s="58">
        <f t="shared" ca="1" si="37"/>
        <v>100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13</v>
      </c>
      <c r="J149" s="148">
        <f>+J155</f>
        <v>13</v>
      </c>
      <c r="K149" s="149">
        <f ca="1">IF(I149&gt;0,J149*100/I149,0)</f>
        <v>100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IFERROR(__xludf.DUMMYFUNCTION("IMPORTRANGE(""https://docs.google.com/spreadsheets/d/1C3CXT74ZlgGe6_JY_1olB1XN4rF0dxEuIIF-xsYjHgg/edit?usp=sharing"",""พรบ!BA91"")"),13)</f>
        <v>13</v>
      </c>
      <c r="J155" s="74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IFERROR(__xludf.DUMMYFUNCTION("IMPORTRANGE(""https://docs.google.com/spreadsheets/d/1C3CXT74ZlgGe6_JY_1olB1XN4rF0dxEuIIF-xsYjHgg/edit?usp=sharing"",""พรบ!BD91"")"),0)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IFERROR(__xludf.DUMMYFUNCTION("IMPORTRANGE(""https://docs.google.com/spreadsheets/d/1C3CXT74ZlgGe6_JY_1olB1XN4rF0dxEuIIF-xsYjHgg/edit?usp=sharing"",""พรบ!BE91"")"),0)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IFERROR(__xludf.DUMMYFUNCTION("IMPORTRANGE(""https://docs.google.com/spreadsheets/d/1C3CXT74ZlgGe6_JY_1olB1XN4rF0dxEuIIF-xsYjHgg/edit?usp=sharing"",""พรบ!BF91"")"),0)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IFERROR(__xludf.DUMMYFUNCTION("IMPORTRANGE(""https://docs.google.com/spreadsheets/d/1C3CXT74ZlgGe6_JY_1olB1XN4rF0dxEuIIF-xsYjHgg/edit?usp=sharing"",""พรบ!BG91"")"),0)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IFERROR(__xludf.DUMMYFUNCTION("IMPORTRANGE(""https://docs.google.com/spreadsheets/d/1C3CXT74ZlgGe6_JY_1olB1XN4rF0dxEuIIF-xsYjHgg/edit?usp=sharing"",""พรบ!BH91"")"),0)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IFERROR(__xludf.DUMMYFUNCTION("IMPORTRANGE(""https://docs.google.com/spreadsheets/d/1C3CXT74ZlgGe6_JY_1olB1XN4rF0dxEuIIF-xsYjHgg/edit?usp=sharing"",""พรบ!BI91"")"),0)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IFERROR(__xludf.DUMMYFUNCTION("IMPORTRANGE(""https://docs.google.com/spreadsheets/d/1C3CXT74ZlgGe6_JY_1olB1XN4rF0dxEuIIF-xsYjHgg/edit?usp=sharing"",""พรบ!BK91"")"),0)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IFERROR(__xludf.DUMMYFUNCTION("IMPORTRANGE(""https://docs.google.com/spreadsheets/d/1C3CXT74ZlgGe6_JY_1olB1XN4rF0dxEuIIF-xsYjHgg/edit?usp=sharing"",""พรบ!BL91"")"),0)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IFERROR(__xludf.DUMMYFUNCTION("IMPORTRANGE(""https://docs.google.com/spreadsheets/d/1C3CXT74ZlgGe6_JY_1olB1XN4rF0dxEuIIF-xsYjHgg/edit?usp=sharing"",""พรบ!BM91"")"),0)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IFERROR(__xludf.DUMMYFUNCTION("IMPORTRANGE(""https://docs.google.com/spreadsheets/d/1C3CXT74ZlgGe6_JY_1olB1XN4rF0dxEuIIF-xsYjHgg/edit?usp=sharing"",""พรบ!BP91"")"),0)</f>
        <v>0</v>
      </c>
      <c r="M203" s="58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IFERROR(__xludf.DUMMYFUNCTION("IMPORTRANGE(""https://docs.google.com/spreadsheets/d/1C3CXT74ZlgGe6_JY_1olB1XN4rF0dxEuIIF-xsYjHgg/edit?usp=sharing"",""พรบ!BQ91"")"),0)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IFERROR(__xludf.DUMMYFUNCTION("IMPORTRANGE(""https://docs.google.com/spreadsheets/d/1C3CXT74ZlgGe6_JY_1olB1XN4rF0dxEuIIF-xsYjHgg/edit?usp=sharing"",""พรบ!BR91"")"),0)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IFERROR(__xludf.DUMMYFUNCTION("IMPORTRANGE(""https://docs.google.com/spreadsheets/d/1C3CXT74ZlgGe6_JY_1olB1XN4rF0dxEuIIF-xsYjHgg/edit?usp=sharing"",""พรบ!BU91"")"),0)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IFERROR(__xludf.DUMMYFUNCTION("IMPORTRANGE(""https://docs.google.com/spreadsheets/d/1C3CXT74ZlgGe6_JY_1olB1XN4rF0dxEuIIF-xsYjHgg/edit?usp=sharing"",""พรบ!BV91"")"),0)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75</v>
      </c>
      <c r="J228" s="212">
        <f ca="1">J240</f>
        <v>0</v>
      </c>
      <c r="K228" s="192">
        <f ca="1">IF(I228&gt;0,J228*100/I228,0)</f>
        <v>0</v>
      </c>
      <c r="L228" s="193">
        <f ca="1">L229+L230</f>
        <v>1029350</v>
      </c>
      <c r="M228" s="193">
        <f>SUM(M229:M230)</f>
        <v>112890</v>
      </c>
      <c r="N228" s="192">
        <f ca="1">IF(L228&gt;0,M228*100/L228,0)</f>
        <v>10.967115169767329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1029350</v>
      </c>
      <c r="M230" s="58">
        <f t="shared" si="51"/>
        <v>112890</v>
      </c>
      <c r="N230" s="58">
        <f t="shared" ca="1" si="50"/>
        <v>10.967115169767329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IFERROR(__xludf.DUMMYFUNCTION("IMPORTRANGE(""https://docs.google.com/spreadsheets/d/1C3CXT74ZlgGe6_JY_1olB1XN4rF0dxEuIIF-xsYjHgg/edit?usp=sharing"",""พรบ!BX91"")"),777000)</f>
        <v>777000</v>
      </c>
      <c r="M231" s="59">
        <v>23890</v>
      </c>
      <c r="N231" s="58">
        <f t="shared" ca="1" si="50"/>
        <v>3.0746460746460746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IFERROR(__xludf.DUMMYFUNCTION("IMPORTRANGE(""https://docs.google.com/spreadsheets/d/1C3CXT74ZlgGe6_JY_1olB1XN4rF0dxEuIIF-xsYjHgg/edit?usp=sharing"",""พรบ!BY91"")"),252350)</f>
        <v>252350</v>
      </c>
      <c r="M232" s="59">
        <v>89000</v>
      </c>
      <c r="N232" s="58">
        <f t="shared" ca="1" si="50"/>
        <v>35.268476322567864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IFERROR(__xludf.DUMMYFUNCTION("IMPORTRANGE(""https://docs.google.com/spreadsheets/d/1AGHcLOeeYFL3K4b9R1dSzyJy00PE_ra89DNTVfnxSWM/edit?usp=sharing"",""รวมที่ทำกิน!J80"")"),21)</f>
        <v>21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103</v>
      </c>
      <c r="I235" s="73">
        <f ca="1">IFERROR(__xludf.DUMMYFUNCTION("IMPORTRANGE(""https://docs.google.com/spreadsheets/d/1C3CXT74ZlgGe6_JY_1olB1XN4rF0dxEuIIF-xsYjHgg/edit?usp=sharing"",""พรบ!BZ91"")"),540)</f>
        <v>540</v>
      </c>
      <c r="J235" s="73">
        <f ca="1">IFERROR(__xludf.DUMMYFUNCTION("IMPORTRANGE(""https://docs.google.com/spreadsheets/d/1AGHcLOeeYFL3K4b9R1dSzyJy00PE_ra89DNTVfnxSWM/edit?usp=sharing"",""รวมที่ทำกิน!L80"")"),135.35)</f>
        <v>135.35</v>
      </c>
      <c r="K235" s="215">
        <f t="shared" ca="1" si="52"/>
        <v>25.064814814814813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IFERROR(__xludf.DUMMYFUNCTION("IMPORTRANGE(""https://docs.google.com/spreadsheets/d/1C3CXT74ZlgGe6_JY_1olB1XN4rF0dxEuIIF-xsYjHgg/edit?usp=sharing"",""พรบ!CA91"")"),75)</f>
        <v>75</v>
      </c>
      <c r="J236" s="73">
        <f ca="1">IFERROR(__xludf.DUMMYFUNCTION("IMPORTRANGE(""https://docs.google.com/spreadsheets/d/1AGHcLOeeYFL3K4b9R1dSzyJy00PE_ra89DNTVfnxSWM/edit?usp=sharing"",""รวมที่ทำกิน!O80"")"),0)</f>
        <v>0</v>
      </c>
      <c r="K236" s="215">
        <f t="shared" ca="1" si="52"/>
        <v>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IFERROR(__xludf.DUMMYFUNCTION("IMPORTRANGE(""https://docs.google.com/spreadsheets/d/1AGHcLOeeYFL3K4b9R1dSzyJy00PE_ra89DNTVfnxSWM/edit?usp=sharing"",""รวมที่ทำกิน!Q80"")"),0)</f>
        <v>0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IFERROR(__xludf.DUMMYFUNCTION("IMPORTRANGE(""https://docs.google.com/spreadsheets/d/1C3CXT74ZlgGe6_JY_1olB1XN4rF0dxEuIIF-xsYjHgg/edit?usp=sharing"",""พรบ!CB91"")"),75)</f>
        <v>75</v>
      </c>
      <c r="J238" s="73">
        <f ca="1">IFERROR(__xludf.DUMMYFUNCTION("IMPORTRANGE(""https://docs.google.com/spreadsheets/d/1AGHcLOeeYFL3K4b9R1dSzyJy00PE_ra89DNTVfnxSWM/edit?usp=sharing"",""รวมที่ทำกิน!S80"")"),0)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IFERROR(__xludf.DUMMYFUNCTION("IMPORTRANGE(""https://docs.google.com/spreadsheets/d/1AGHcLOeeYFL3K4b9R1dSzyJy00PE_ra89DNTVfnxSWM/edit?usp=sharing"",""รวมที่ทำกิน!U80"")"),0)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IFERROR(__xludf.DUMMYFUNCTION("IMPORTRANGE(""https://docs.google.com/spreadsheets/d/1C3CXT74ZlgGe6_JY_1olB1XN4rF0dxEuIIF-xsYjHgg/edit?usp=sharing"",""พรบ!CC91"")"),75)</f>
        <v>75</v>
      </c>
      <c r="J240" s="73">
        <f ca="1">IFERROR(__xludf.DUMMYFUNCTION("IMPORTRANGE(""https://docs.google.com/spreadsheets/d/1AGHcLOeeYFL3K4b9R1dSzyJy00PE_ra89DNTVfnxSWM/edit?usp=sharing"",""รวมที่ทำกิน!W80"")"),0)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IFERROR(__xludf.DUMMYFUNCTION("IMPORTRANGE(""https://docs.google.com/spreadsheets/d/1AGHcLOeeYFL3K4b9R1dSzyJy00PE_ra89DNTVfnxSWM/edit?usp=sharing"",""รวมที่ทำกิน!Y80"")"),0)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1564327</v>
      </c>
      <c r="M242" s="230">
        <f t="shared" si="53"/>
        <v>77552</v>
      </c>
      <c r="N242" s="230">
        <f ca="1">+IF(L242&gt;0,M242*100/L242,0)</f>
        <v>4.9575312578508202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20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65120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20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65120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IFERROR(__xludf.DUMMYFUNCTION("IMPORTRANGE(""https://docs.google.com/spreadsheets/d/1C3CXT74ZlgGe6_JY_1olB1XN4rF0dxEuIIF-xsYjHgg/edit?usp=sharing"",""งบกองทุน!d91"")"),0)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IFERROR(__xludf.DUMMYFUNCTION("IMPORTRANGE(""https://docs.google.com/spreadsheets/d/1C3CXT74ZlgGe6_JY_1olB1XN4rF0dxEuIIF-xsYjHgg/edit?usp=sharing"",""งบกองทุน!e91"")"),65120)</f>
        <v>65120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1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IFERROR(__xludf.DUMMYFUNCTION("IMPORTRANGE(""https://docs.google.com/spreadsheets/d/1C3CXT74ZlgGe6_JY_1olB1XN4rF0dxEuIIF-xsYjHgg/edit?usp=sharing"",""งบกองทุน!f91"")"),0)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20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IFERROR(__xludf.DUMMYFUNCTION("IMPORTRANGE(""https://docs.google.com/spreadsheets/d/1C3CXT74ZlgGe6_JY_1olB1XN4rF0dxEuIIF-xsYjHgg/edit?usp=sharing"",""งบกองทุน!H91"")"),20)</f>
        <v>20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IFERROR(__xludf.DUMMYFUNCTION("IMPORTRANGE(""https://docs.google.com/spreadsheets/d/1C3CXT74ZlgGe6_JY_1olB1XN4rF0dxEuIIF-xsYjHgg/edit?usp=sharing"",""งบกองทุน!i91"")"),20)</f>
        <v>20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20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IFERROR(__xludf.DUMMYFUNCTION("IMPORTRANGE(""https://docs.google.com/spreadsheets/d/1C3CXT74ZlgGe6_JY_1olB1XN4rF0dxEuIIF-xsYjHgg/edit?usp=sharing"",""งบกองทุน!k91"")"),0)</f>
        <v>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20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IFERROR(__xludf.DUMMYFUNCTION("IMPORTRANGE(""https://docs.google.com/spreadsheets/d/1C3CXT74ZlgGe6_JY_1olB1XN4rF0dxEuIIF-xsYjHgg/edit?usp=sharing"",""งบกองทุน!m91"")"),0)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20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IFERROR(__xludf.DUMMYFUNCTION("IMPORTRANGE(""https://docs.google.com/spreadsheets/d/1C3CXT74ZlgGe6_JY_1olB1XN4rF0dxEuIIF-xsYjHgg/edit?usp=sharing"",""งบกองทุน!o91"")"),0)</f>
        <v>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IFERROR(__xludf.DUMMYFUNCTION("IMPORTRANGE(""https://docs.google.com/spreadsheets/d/1C3CXT74ZlgGe6_JY_1olB1XN4rF0dxEuIIF-xsYjHgg/edit?usp=sharing"",""งบกองทุน!p91"")"),20)</f>
        <v>20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1000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1028520</v>
      </c>
      <c r="M275" s="246">
        <f t="shared" si="65"/>
        <v>22820</v>
      </c>
      <c r="N275" s="246">
        <f ca="1">+IF(L275&gt;0,M275*100/L275,0)</f>
        <v>2.2187220472134719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100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1028520</v>
      </c>
      <c r="M278" s="55">
        <f t="shared" si="67"/>
        <v>22820</v>
      </c>
      <c r="N278" s="55">
        <f t="shared" ca="1" si="66"/>
        <v>2.2187220472134719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IFERROR(__xludf.DUMMYFUNCTION("IMPORTRANGE(""https://docs.google.com/spreadsheets/d/1C3CXT74ZlgGe6_JY_1olB1XN4rF0dxEuIIF-xsYjHgg/edit?usp=sharing"",""งบกองทุน!r91"")"),0)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IFERROR(__xludf.DUMMYFUNCTION("IMPORTRANGE(""https://docs.google.com/spreadsheets/d/1C3CXT74ZlgGe6_JY_1olB1XN4rF0dxEuIIF-xsYjHgg/edit?usp=sharing"",""งบกองทุน!s91"")"),1028520)</f>
        <v>1028520</v>
      </c>
      <c r="M280" s="58">
        <f>SUM(M281:M284)</f>
        <v>22820</v>
      </c>
      <c r="N280" s="58">
        <f t="shared" ca="1" si="66"/>
        <v>2.2187220472134719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20000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2820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IFERROR(__xludf.DUMMYFUNCTION("IMPORTRANGE(""https://docs.google.com/spreadsheets/d/1C3CXT74ZlgGe6_JY_1olB1XN4rF0dxEuIIF-xsYjHgg/edit?usp=sharing"",""งบกองทุน!v91"")"),100)</f>
        <v>100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IFERROR(__xludf.DUMMYFUNCTION("IMPORTRANGE(""https://docs.google.com/spreadsheets/d/1C3CXT74ZlgGe6_JY_1olB1XN4rF0dxEuIIF-xsYjHgg/edit?usp=sharing"",""งบกองทุน!w91"")"),1000)</f>
        <v>1000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IFERROR(__xludf.DUMMYFUNCTION("IMPORTRANGE(""https://docs.google.com/spreadsheets/d/1C3CXT74ZlgGe6_JY_1olB1XN4rF0dxEuIIF-xsYjHgg/edit?usp=sharing"",""งบกองทุน!x91"")"),100)</f>
        <v>100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165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172190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55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172190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IFERROR(__xludf.DUMMYFUNCTION("IMPORTRANGE(""https://docs.google.com/spreadsheets/d/1C3CXT74ZlgGe6_JY_1olB1XN4rF0dxEuIIF-xsYjHgg/edit?usp=sharing"",""งบกองทุน!z91"")"),0)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IFERROR(__xludf.DUMMYFUNCTION("IMPORTRANGE(""https://docs.google.com/spreadsheets/d/1C3CXT74ZlgGe6_JY_1olB1XN4rF0dxEuIIF-xsYjHgg/edit?usp=sharing"",""งบกองทุน!aa91"")"),172190)</f>
        <v>172190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55</v>
      </c>
      <c r="J311" s="84">
        <f t="shared" ca="1" si="73"/>
        <v>0</v>
      </c>
      <c r="K311" s="85">
        <f t="shared" ref="K311:K327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IFERROR(__xludf.DUMMYFUNCTION("IMPORTRANGE(""https://docs.google.com/spreadsheets/d/1C3CXT74ZlgGe6_JY_1olB1XN4rF0dxEuIIF-xsYjHgg/edit?usp=sharing"",""งบกองทุน!ae91"")"),10)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IFERROR(__xludf.DUMMYFUNCTION("IMPORTRANGE(""https://docs.google.com/spreadsheets/d/1C3CXT74ZlgGe6_JY_1olB1XN4rF0dxEuIIF-xsYjHgg/edit?usp=sharing"",""งบกองทุน!ad91"")"),30)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IFERROR(__xludf.DUMMYFUNCTION("IMPORTRANGE(""https://docs.google.com/spreadsheets/d/1C3CXT74ZlgGe6_JY_1olB1XN4rF0dxEuIIF-xsYjHgg/edit?usp=sharing"",""งบกองทุน!af91"")"),10)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IFERROR(__xludf.DUMMYFUNCTION("IMPORTRANGE(""https://docs.google.com/spreadsheets/d/1C3CXT74ZlgGe6_JY_1olB1XN4rF0dxEuIIF-xsYjHgg/edit?usp=sharing"",""งบกองทุน!ag91"")"),10)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IFERROR(__xludf.DUMMYFUNCTION("IMPORTRANGE(""https://docs.google.com/spreadsheets/d/1C3CXT74ZlgGe6_JY_1olB1XN4rF0dxEuIIF-xsYjHgg/edit?usp=sharing"",""งบกองทุน!ai91"")"),25)</f>
        <v>25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IFERROR(__xludf.DUMMYFUNCTION("IMPORTRANGE(""https://docs.google.com/spreadsheets/d/1C3CXT74ZlgGe6_JY_1olB1XN4rF0dxEuIIF-xsYjHgg/edit?usp=sharing"",""งบกองทุน!ah91"")"),75)</f>
        <v>75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IFERROR(__xludf.DUMMYFUNCTION("IMPORTRANGE(""https://docs.google.com/spreadsheets/d/1C3CXT74ZlgGe6_JY_1olB1XN4rF0dxEuIIF-xsYjHgg/edit?usp=sharing"",""งบกองทุน!aj91"")"),25)</f>
        <v>25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IFERROR(__xludf.DUMMYFUNCTION("IMPORTRANGE(""https://docs.google.com/spreadsheets/d/1C3CXT74ZlgGe6_JY_1olB1XN4rF0dxEuIIF-xsYjHgg/edit?usp=sharing"",""งบกองทุน!ak91"")"),25)</f>
        <v>25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IFERROR(__xludf.DUMMYFUNCTION("IMPORTRANGE(""https://docs.google.com/spreadsheets/d/1C3CXT74ZlgGe6_JY_1olB1XN4rF0dxEuIIF-xsYjHgg/edit?usp=sharing"",""งบกองทุน!al91"")"),25)</f>
        <v>25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IFERROR(__xludf.DUMMYFUNCTION("IMPORTRANGE(""https://docs.google.com/spreadsheets/d/1C3CXT74ZlgGe6_JY_1olB1XN4rF0dxEuIIF-xsYjHgg/edit?usp=sharing"",""งบกองทุน!an91"")"),20)</f>
        <v>20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IFERROR(__xludf.DUMMYFUNCTION("IMPORTRANGE(""https://docs.google.com/spreadsheets/d/1C3CXT74ZlgGe6_JY_1olB1XN4rF0dxEuIIF-xsYjHgg/edit?usp=sharing"",""งบกองทุน!am91"")"),60)</f>
        <v>60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IFERROR(__xludf.DUMMYFUNCTION("IMPORTRANGE(""https://docs.google.com/spreadsheets/d/1C3CXT74ZlgGe6_JY_1olB1XN4rF0dxEuIIF-xsYjHgg/edit?usp=sharing"",""งบกองทุน!ao91"")"),20)</f>
        <v>20</v>
      </c>
      <c r="J323" s="390">
        <v>0</v>
      </c>
      <c r="K323" s="54">
        <f t="shared" ca="1" si="74"/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IFERROR(__xludf.DUMMYFUNCTION("IMPORTRANGE(""https://docs.google.com/spreadsheets/d/1C3CXT74ZlgGe6_JY_1olB1XN4rF0dxEuIIF-xsYjHgg/edit?usp=sharing"",""งบกองทุน!ap91"")"),20)</f>
        <v>20</v>
      </c>
      <c r="J324" s="390">
        <v>0</v>
      </c>
      <c r="K324" s="54">
        <f t="shared" ca="1" si="74"/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35</v>
      </c>
      <c r="J325" s="388">
        <f ca="1">IF(AND(J326=I326,J327=I327),I325,0)</f>
        <v>0</v>
      </c>
      <c r="K325" s="85">
        <f t="shared" ca="1" si="74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IFERROR(__xludf.DUMMYFUNCTION("IMPORTRANGE(""https://docs.google.com/spreadsheets/d/1C3CXT74ZlgGe6_JY_1olB1XN4rF0dxEuIIF-xsYjHgg/edit?usp=sharing"",""งบกองทุน!ar91"")"),10)</f>
        <v>10</v>
      </c>
      <c r="J326" s="390">
        <v>0</v>
      </c>
      <c r="K326" s="54">
        <f t="shared" ca="1" si="74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IFERROR(__xludf.DUMMYFUNCTION("IMPORTRANGE(""https://docs.google.com/spreadsheets/d/1C3CXT74ZlgGe6_JY_1olB1XN4rF0dxEuIIF-xsYjHgg/edit?usp=sharing"",""งบกองทุน!as91"")"),25)</f>
        <v>25</v>
      </c>
      <c r="J327" s="390">
        <v>0</v>
      </c>
      <c r="K327" s="54">
        <f t="shared" ca="1" si="74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10</v>
      </c>
      <c r="K330" s="276">
        <f ca="1">IF(I330&gt;0,J330*100/I330,0)</f>
        <v>100</v>
      </c>
      <c r="L330" s="277">
        <f t="shared" ref="L330:M330" ca="1" si="75">SUM(L331:L332)</f>
        <v>71000</v>
      </c>
      <c r="M330" s="277">
        <f t="shared" si="75"/>
        <v>30800</v>
      </c>
      <c r="N330" s="277">
        <f t="shared" ref="N330:N334" ca="1" si="76">+IF(L330&gt;0,M330*100/L330,0)</f>
        <v>43.380281690140848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6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7">SUM(L333:L334)</f>
        <v>71000</v>
      </c>
      <c r="M332" s="58">
        <f t="shared" si="77"/>
        <v>30800</v>
      </c>
      <c r="N332" s="58">
        <f t="shared" ca="1" si="76"/>
        <v>43.380281690140848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IFERROR(__xludf.DUMMYFUNCTION("IMPORTRANGE(""https://docs.google.com/spreadsheets/d/1C3CXT74ZlgGe6_JY_1olB1XN4rF0dxEuIIF-xsYjHgg/edit?usp=sharing"",""งบกองทุน!au91"")"),0)</f>
        <v>0</v>
      </c>
      <c r="M333" s="58">
        <v>0</v>
      </c>
      <c r="N333" s="58">
        <f t="shared" ca="1" si="76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IFERROR(__xludf.DUMMYFUNCTION("IMPORTRANGE(""https://docs.google.com/spreadsheets/d/1C3CXT74ZlgGe6_JY_1olB1XN4rF0dxEuIIF-xsYjHgg/edit?usp=sharing"",""งบกองทุน!av91"")"),71000)</f>
        <v>71000</v>
      </c>
      <c r="M334" s="58">
        <f>SUM(M335:M338)</f>
        <v>30800</v>
      </c>
      <c r="N334" s="58">
        <f t="shared" ca="1" si="76"/>
        <v>43.380281690140848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20200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8000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2600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8">+I345+I346+I347</f>
        <v>10</v>
      </c>
      <c r="J344" s="84">
        <f t="shared" si="78"/>
        <v>10</v>
      </c>
      <c r="K344" s="54">
        <f t="shared" ref="K344:K347" ca="1" si="79">IF(I344&gt;0,J344*100/I344,0)</f>
        <v>100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IFERROR(__xludf.DUMMYFUNCTION("IMPORTRANGE(""https://docs.google.com/spreadsheets/d/1C3CXT74ZlgGe6_JY_1olB1XN4rF0dxEuIIF-xsYjHgg/edit?usp=sharing"",""งบกองทุน!ay91"")"),10)</f>
        <v>10</v>
      </c>
      <c r="J345" s="74">
        <v>10</v>
      </c>
      <c r="K345" s="54">
        <f t="shared" ca="1" si="79"/>
        <v>100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IFERROR(__xludf.DUMMYFUNCTION("IMPORTRANGE(""https://docs.google.com/spreadsheets/d/1C3CXT74ZlgGe6_JY_1olB1XN4rF0dxEuIIF-xsYjHgg/edit?usp=sharing"",""งบกองทุน!az91"")"),0)</f>
        <v>0</v>
      </c>
      <c r="J346" s="74">
        <v>0</v>
      </c>
      <c r="K346" s="54">
        <f t="shared" ca="1" si="79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IFERROR(__xludf.DUMMYFUNCTION("IMPORTRANGE(""https://docs.google.com/spreadsheets/d/1C3CXT74ZlgGe6_JY_1olB1XN4rF0dxEuIIF-xsYjHgg/edit?usp=sharing"",""งบกองทุน!Ba91"")"),0)</f>
        <v>0</v>
      </c>
      <c r="J347" s="74">
        <v>0</v>
      </c>
      <c r="K347" s="54">
        <f t="shared" ca="1" si="79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0</v>
      </c>
      <c r="J350" s="244">
        <f>+J359</f>
        <v>0</v>
      </c>
      <c r="K350" s="245">
        <f ca="1">IF(I350&gt;0,J350*100/I350,0)</f>
        <v>0</v>
      </c>
      <c r="L350" s="246">
        <f t="shared" ref="L350:M350" ca="1" si="80">SUM(L351:L352)</f>
        <v>61427</v>
      </c>
      <c r="M350" s="246">
        <f t="shared" si="80"/>
        <v>0</v>
      </c>
      <c r="N350" s="246">
        <f t="shared" ref="N350:N354" ca="1" si="81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1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2">SUM(L353:L354)</f>
        <v>61427</v>
      </c>
      <c r="M352" s="58">
        <f t="shared" si="82"/>
        <v>0</v>
      </c>
      <c r="N352" s="58">
        <f t="shared" ca="1" si="81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IFERROR(__xludf.DUMMYFUNCTION("IMPORTRANGE(""https://docs.google.com/spreadsheets/d/1C3CXT74ZlgGe6_JY_1olB1XN4rF0dxEuIIF-xsYjHgg/edit?usp=sharing"",""งบกองทุน!Bc91"")"),0)</f>
        <v>0</v>
      </c>
      <c r="M353" s="58">
        <v>0</v>
      </c>
      <c r="N353" s="58">
        <f t="shared" ca="1" si="81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IFERROR(__xludf.DUMMYFUNCTION("IMPORTRANGE(""https://docs.google.com/spreadsheets/d/1C3CXT74ZlgGe6_JY_1olB1XN4rF0dxEuIIF-xsYjHgg/edit?usp=sharing"",""งบกองทุน!Bd91"")"),61427)</f>
        <v>61427</v>
      </c>
      <c r="M354" s="58">
        <f>SUM(M355:M358)</f>
        <v>0</v>
      </c>
      <c r="N354" s="58">
        <f t="shared" ca="1" si="81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IFERROR(__xludf.DUMMYFUNCTION("IMPORTRANGE(""https://docs.google.com/spreadsheets/d/1C3CXT74ZlgGe6_JY_1olB1XN4rF0dxEuIIF-xsYjHgg/edit?usp=sharing"",""งบกองทุน!BE91"")"),0)</f>
        <v>0</v>
      </c>
      <c r="J359" s="148">
        <f>+J376</f>
        <v>0</v>
      </c>
      <c r="K359" s="149">
        <f t="shared" ref="K359:K425" ca="1" si="83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0</v>
      </c>
      <c r="J360" s="283">
        <f t="shared" ref="J360:J361" si="84">+J362+J364+J366</f>
        <v>0</v>
      </c>
      <c r="K360" s="85">
        <f t="shared" ca="1" si="83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IFERROR(__xludf.DUMMYFUNCTION("IMPORTRANGE(""https://docs.google.com/spreadsheets/d/1C3CXT74ZlgGe6_JY_1olB1XN4rF0dxEuIIF-xsYjHgg/edit?usp=sharing"",""งบกองทุน!BF91"")"),0)</f>
        <v>0</v>
      </c>
      <c r="J361" s="283">
        <f t="shared" si="84"/>
        <v>0</v>
      </c>
      <c r="K361" s="85">
        <f t="shared" ca="1" si="83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3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3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3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3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3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3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0</v>
      </c>
      <c r="J368" s="283">
        <f t="shared" ref="J368:J369" si="85">+J370+J372+J374</f>
        <v>0</v>
      </c>
      <c r="K368" s="85">
        <f t="shared" ca="1" si="83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0</v>
      </c>
      <c r="J369" s="283">
        <f t="shared" si="85"/>
        <v>0</v>
      </c>
      <c r="K369" s="85">
        <f t="shared" ca="1" si="83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3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3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3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3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3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3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0</v>
      </c>
      <c r="J376" s="283">
        <f t="shared" ref="J376:J377" si="86">+J378+J380+J382+J388</f>
        <v>0</v>
      </c>
      <c r="K376" s="85">
        <f t="shared" ca="1" si="83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0</v>
      </c>
      <c r="J377" s="283">
        <f t="shared" si="86"/>
        <v>0</v>
      </c>
      <c r="K377" s="85">
        <f t="shared" ca="1" si="83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3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3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3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3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7">J384+J386</f>
        <v>0</v>
      </c>
      <c r="K382" s="54">
        <f t="shared" si="83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7"/>
        <v>0</v>
      </c>
      <c r="K383" s="54">
        <f t="shared" si="83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3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3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3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3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3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3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IFERROR(__xludf.DUMMYFUNCTION("IMPORTRANGE(""https://docs.google.com/spreadsheets/d/1C3CXT74ZlgGe6_JY_1olB1XN4rF0dxEuIIF-xsYjHgg/edit?usp=sharing"",""งบกองทุน!cd91"")"),639)</f>
        <v>639</v>
      </c>
      <c r="J390" s="148">
        <f>J391</f>
        <v>0</v>
      </c>
      <c r="K390" s="149">
        <f t="shared" ca="1" si="83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IFERROR(__xludf.DUMMYFUNCTION("IMPORTRANGE(""https://docs.google.com/spreadsheets/d/1C3CXT74ZlgGe6_JY_1olB1XN4rF0dxEuIIF-xsYjHgg/edit?usp=sharing"",""งบกองทุน!cd91"")"),639)</f>
        <v>639</v>
      </c>
      <c r="J391" s="283">
        <f t="shared" ref="J391:J392" si="88">J393+J401+J407</f>
        <v>0</v>
      </c>
      <c r="K391" s="379">
        <f t="shared" ca="1" si="83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IFERROR(__xludf.DUMMYFUNCTION("IMPORTRANGE(""https://docs.google.com/spreadsheets/d/1C3CXT74ZlgGe6_JY_1olB1XN4rF0dxEuIIF-xsYjHgg/edit?usp=sharing"",""งบกองทุน!cc91"")"),76)</f>
        <v>76</v>
      </c>
      <c r="J392" s="283">
        <f t="shared" si="88"/>
        <v>0</v>
      </c>
      <c r="K392" s="379">
        <f t="shared" ca="1" si="83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89">J395+J397+J399</f>
        <v>0</v>
      </c>
      <c r="K393" s="250">
        <f t="shared" si="83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89"/>
        <v>0</v>
      </c>
      <c r="K394" s="250">
        <f t="shared" si="83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3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3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3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3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3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3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0">+J403+J405</f>
        <v>0</v>
      </c>
      <c r="K401" s="250">
        <f t="shared" si="83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0"/>
        <v>0</v>
      </c>
      <c r="K402" s="250">
        <f t="shared" si="83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3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3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3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3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3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3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IFERROR(__xludf.DUMMYFUNCTION("IMPORTRANGE(""https://docs.google.com/spreadsheets/d/1C3CXT74ZlgGe6_JY_1olB1XN4rF0dxEuIIF-xsYjHgg/edit?usp=sharing"",""งบกองทุน!cz91"")"),0)</f>
        <v>0</v>
      </c>
      <c r="J409" s="148">
        <f ca="1">+J412+J414</f>
        <v>0</v>
      </c>
      <c r="K409" s="149">
        <f t="shared" ca="1" si="83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IFERROR(__xludf.DUMMYFUNCTION("IMPORTRANGE(""https://docs.google.com/spreadsheets/d/1C3CXT74ZlgGe6_JY_1olB1XN4rF0dxEuIIF-xsYjHgg/edit?usp=sharing"",""งบกองทุน!cz91"")"),0)</f>
        <v>0</v>
      </c>
      <c r="J410" s="399">
        <f t="shared" ref="J410:J411" ca="1" si="91">SUM(J412,J414)</f>
        <v>0</v>
      </c>
      <c r="K410" s="400">
        <f t="shared" ca="1" si="83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IFERROR(__xludf.DUMMYFUNCTION("IMPORTRANGE(""https://docs.google.com/spreadsheets/d/1C3CXT74ZlgGe6_JY_1olB1XN4rF0dxEuIIF-xsYjHgg/edit?usp=sharing"",""งบกองทุน!cy91"")"),0)</f>
        <v>0</v>
      </c>
      <c r="J411" s="402">
        <f t="shared" ca="1" si="91"/>
        <v>0</v>
      </c>
      <c r="K411" s="403">
        <f t="shared" ca="1" si="83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IFERROR(__xludf.DUMMYFUNCTION("IMPORTRANGE(""https://docs.google.com/spreadsheets/d/1C3CXT74ZlgGe6_JY_1olB1XN4rF0dxEuIIF-xsYjHgg/edit?usp=sharing"",""งบกองทุน!db91"")"),0)</f>
        <v>0</v>
      </c>
      <c r="K412" s="407">
        <f t="shared" si="83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IFERROR(__xludf.DUMMYFUNCTION("IMPORTRANGE(""https://docs.google.com/spreadsheets/d/1C3CXT74ZlgGe6_JY_1olB1XN4rF0dxEuIIF-xsYjHgg/edit?usp=sharing"",""งบกองทุน!da91"")"),0)</f>
        <v>0</v>
      </c>
      <c r="K413" s="407">
        <f t="shared" si="83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IFERROR(__xludf.DUMMYFUNCTION("IMPORTRANGE(""https://docs.google.com/spreadsheets/d/1C3CXT74ZlgGe6_JY_1olB1XN4rF0dxEuIIF-xsYjHgg/edit?usp=sharing"",""งบกองทุน!dd91"")"),0)</f>
        <v>0</v>
      </c>
      <c r="K414" s="407">
        <f t="shared" si="83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IFERROR(__xludf.DUMMYFUNCTION("IMPORTRANGE(""https://docs.google.com/spreadsheets/d/1C3CXT74ZlgGe6_JY_1olB1XN4rF0dxEuIIF-xsYjHgg/edit?usp=sharing"",""งบกองทุน!dc91"")"),0)</f>
        <v>0</v>
      </c>
      <c r="K415" s="407">
        <f t="shared" si="83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IFERROR(__xludf.DUMMYFUNCTION("IMPORTRANGE(""https://docs.google.com/spreadsheets/d/1C3CXT74ZlgGe6_JY_1olB1XN4rF0dxEuIIF-xsYjHgg/edit?usp=sharing"",""งบกองทุน!df91"")"),0)</f>
        <v>0</v>
      </c>
      <c r="K416" s="407">
        <f t="shared" si="83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IFERROR(__xludf.DUMMYFUNCTION("IMPORTRANGE(""https://docs.google.com/spreadsheets/d/1C3CXT74ZlgGe6_JY_1olB1XN4rF0dxEuIIF-xsYjHgg/edit?usp=sharing"",""งบกองทุน!de91"")"),0)</f>
        <v>0</v>
      </c>
      <c r="K417" s="407">
        <f t="shared" si="83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2">J416</f>
        <v>0</v>
      </c>
      <c r="J418" s="408">
        <f t="shared" ref="J418:J419" si="93">SUM(J420,J422,J424)</f>
        <v>0</v>
      </c>
      <c r="K418" s="409">
        <f t="shared" ca="1" si="83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2"/>
        <v>0</v>
      </c>
      <c r="J419" s="408">
        <f t="shared" si="93"/>
        <v>0</v>
      </c>
      <c r="K419" s="409">
        <f t="shared" ca="1" si="83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3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3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3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3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3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3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4">I440</f>
        <v>20</v>
      </c>
      <c r="J426" s="275">
        <f t="shared" si="94"/>
        <v>0</v>
      </c>
      <c r="K426" s="276">
        <f ca="1">IF(I426&gt;0,J426*100/I426,0)</f>
        <v>0</v>
      </c>
      <c r="L426" s="277">
        <f t="shared" ref="L426:M426" ca="1" si="95">SUM(L427:L428)</f>
        <v>32640</v>
      </c>
      <c r="M426" s="277">
        <f t="shared" si="95"/>
        <v>0</v>
      </c>
      <c r="N426" s="277">
        <f t="shared" ref="N426:N430" ca="1" si="96">+IF(L426&gt;0,M426*100/L426,0)</f>
        <v>0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6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7">SUM(L429:L430)</f>
        <v>32640</v>
      </c>
      <c r="M428" s="58">
        <f t="shared" si="97"/>
        <v>0</v>
      </c>
      <c r="N428" s="58">
        <f t="shared" ca="1" si="96"/>
        <v>0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IFERROR(__xludf.DUMMYFUNCTION("IMPORTRANGE(""https://docs.google.com/spreadsheets/d/1C3CXT74ZlgGe6_JY_1olB1XN4rF0dxEuIIF-xsYjHgg/edit?usp=sharing"",""งบกองทุน!dn91"")"),0)</f>
        <v>0</v>
      </c>
      <c r="M429" s="58">
        <v>0</v>
      </c>
      <c r="N429" s="58">
        <f t="shared" ca="1" si="96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IFERROR(__xludf.DUMMYFUNCTION("IMPORTRANGE(""https://docs.google.com/spreadsheets/d/1C3CXT74ZlgGe6_JY_1olB1XN4rF0dxEuIIF-xsYjHgg/edit?usp=sharing"",""งบกองทุน!do91"")"),32640)</f>
        <v>32640</v>
      </c>
      <c r="M430" s="58">
        <f>SUM(M431:M434)</f>
        <v>0</v>
      </c>
      <c r="N430" s="58">
        <f t="shared" ca="1" si="96"/>
        <v>0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IFERROR(__xludf.DUMMYFUNCTION("IMPORTRANGE(""https://docs.google.com/spreadsheets/d/1C3CXT74ZlgGe6_JY_1olB1XN4rF0dxEuIIF-xsYjHgg/edit?usp=sharing"",""งบกองทุน!dq91"")"),20)</f>
        <v>20</v>
      </c>
      <c r="J440" s="74">
        <v>0</v>
      </c>
      <c r="K440" s="54">
        <f t="shared" ref="K440:K441" ca="1" si="98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IFERROR(__xludf.DUMMYFUNCTION("IMPORTRANGE(""https://docs.google.com/spreadsheets/d/1C3CXT74ZlgGe6_JY_1olB1XN4rF0dxEuIIF-xsYjHgg/edit?usp=sharing"",""งบกองทุน!dr91"")"),20)</f>
        <v>20</v>
      </c>
      <c r="J441" s="74">
        <v>0</v>
      </c>
      <c r="K441" s="54">
        <f t="shared" ca="1" si="98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99">SUM(I453,I455)</f>
        <v>0</v>
      </c>
      <c r="J444" s="275">
        <f t="shared" si="99"/>
        <v>0</v>
      </c>
      <c r="K444" s="276">
        <f ca="1">IF(I444&gt;0,J444*100/I444,0)</f>
        <v>0</v>
      </c>
      <c r="L444" s="277">
        <f t="shared" ref="L444:M444" ca="1" si="100">SUM(L445:L446)</f>
        <v>0</v>
      </c>
      <c r="M444" s="277">
        <f t="shared" si="100"/>
        <v>0</v>
      </c>
      <c r="N444" s="277">
        <f t="shared" ref="N444:N448" ca="1" si="101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1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2">SUM(L447:L448)</f>
        <v>0</v>
      </c>
      <c r="M446" s="58">
        <f t="shared" si="102"/>
        <v>0</v>
      </c>
      <c r="N446" s="58">
        <f t="shared" ca="1" si="101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IFERROR(__xludf.DUMMYFUNCTION("IMPORTRANGE(""https://docs.google.com/spreadsheets/d/1C3CXT74ZlgGe6_JY_1olB1XN4rF0dxEuIIF-xsYjHgg/edit?usp=sharing"",""งบกองทุน!dt91"")"),0)</f>
        <v>0</v>
      </c>
      <c r="M447" s="58">
        <v>0</v>
      </c>
      <c r="N447" s="58">
        <f t="shared" ca="1" si="101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IFERROR(__xludf.DUMMYFUNCTION("IMPORTRANGE(""https://docs.google.com/spreadsheets/d/1C3CXT74ZlgGe6_JY_1olB1XN4rF0dxEuIIF-xsYjHgg/edit?usp=sharing"",""งบกองทุน!du91"")"),0)</f>
        <v>0</v>
      </c>
      <c r="M448" s="58">
        <f>SUM(M449:M452)</f>
        <v>0</v>
      </c>
      <c r="N448" s="58">
        <f t="shared" ca="1" si="101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IFERROR(__xludf.DUMMYFUNCTION("IMPORTRANGE(""https://docs.google.com/spreadsheets/d/1C3CXT74ZlgGe6_JY_1olB1XN4rF0dxEuIIF-xsYjHgg/edit?usp=sharing"",""งบกองทุน!dw91"")"),0)</f>
        <v>0</v>
      </c>
      <c r="J453" s="73">
        <v>0</v>
      </c>
      <c r="K453" s="250">
        <f t="shared" ref="K453:K457" ca="1" si="103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IFERROR(__xludf.DUMMYFUNCTION("IMPORTRANGE(""https://docs.google.com/spreadsheets/d/1C3CXT74ZlgGe6_JY_1olB1XN4rF0dxEuIIF-xsYjHgg/edit?usp=sharing"",""งบกองทุน!dx91"")"),0)</f>
        <v>0</v>
      </c>
      <c r="J454" s="73">
        <v>0</v>
      </c>
      <c r="K454" s="250">
        <f t="shared" ca="1" si="103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IFERROR(__xludf.DUMMYFUNCTION("IMPORTRANGE(""https://docs.google.com/spreadsheets/d/1C3CXT74ZlgGe6_JY_1olB1XN4rF0dxEuIIF-xsYjHgg/edit?usp=sharing"",""งบกองทุน!dy91"")"),0)</f>
        <v>0</v>
      </c>
      <c r="J455" s="73">
        <v>0</v>
      </c>
      <c r="K455" s="250">
        <f t="shared" ca="1" si="103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IFERROR(__xludf.DUMMYFUNCTION("IMPORTRANGE(""https://docs.google.com/spreadsheets/d/1C3CXT74ZlgGe6_JY_1olB1XN4rF0dxEuIIF-xsYjHgg/edit?usp=sharing"",""งบกองทุน!dz91"")"),0)</f>
        <v>0</v>
      </c>
      <c r="J456" s="73">
        <v>0</v>
      </c>
      <c r="K456" s="250">
        <f t="shared" ca="1" si="103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400</v>
      </c>
      <c r="J457" s="244">
        <f>+J466</f>
        <v>73</v>
      </c>
      <c r="K457" s="245">
        <f t="shared" ca="1" si="103"/>
        <v>18.25</v>
      </c>
      <c r="L457" s="246">
        <f t="shared" ref="L457:M457" ca="1" si="104">SUM(L458:L459)</f>
        <v>125680</v>
      </c>
      <c r="M457" s="246">
        <f t="shared" si="104"/>
        <v>20532</v>
      </c>
      <c r="N457" s="246">
        <f t="shared" ref="N457:N461" ca="1" si="105">+IF(L457&gt;0,M457*100/L457,0)</f>
        <v>16.336728198599619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5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6">SUM(L460:L461)</f>
        <v>125680</v>
      </c>
      <c r="M459" s="58">
        <f t="shared" si="106"/>
        <v>20532</v>
      </c>
      <c r="N459" s="58">
        <f t="shared" ca="1" si="105"/>
        <v>16.336728198599619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IFERROR(__xludf.DUMMYFUNCTION("IMPORTRANGE(""https://docs.google.com/spreadsheets/d/1C3CXT74ZlgGe6_JY_1olB1XN4rF0dxEuIIF-xsYjHgg/edit?usp=sharing"",""งบกองทุน!Eb91"")"),0)</f>
        <v>0</v>
      </c>
      <c r="M460" s="58">
        <v>0</v>
      </c>
      <c r="N460" s="58">
        <f t="shared" ca="1" si="105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IFERROR(__xludf.DUMMYFUNCTION("IMPORTRANGE(""https://docs.google.com/spreadsheets/d/1C3CXT74ZlgGe6_JY_1olB1XN4rF0dxEuIIF-xsYjHgg/edit?usp=sharing"",""งบกองทุน!Ec91"")"),125680)</f>
        <v>125680</v>
      </c>
      <c r="M461" s="58">
        <f>SUM(M462:M465)</f>
        <v>20532</v>
      </c>
      <c r="N461" s="58">
        <f t="shared" ca="1" si="105"/>
        <v>16.336728198599619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20532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IFERROR(__xludf.DUMMYFUNCTION("IMPORTRANGE(""https://docs.google.com/spreadsheets/d/1C3CXT74ZlgGe6_JY_1olB1XN4rF0dxEuIIF-xsYjHgg/edit?usp=sharing"",""งบกองทุน!Ed91"")"),400)</f>
        <v>400</v>
      </c>
      <c r="J466" s="283">
        <f>+J469+J470+J471+J472</f>
        <v>73</v>
      </c>
      <c r="K466" s="85">
        <f ca="1">IF(I466&gt;0,J466*100/I466,0)</f>
        <v>18.25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7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7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73</v>
      </c>
      <c r="K470" s="54">
        <f t="shared" si="107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7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8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8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09">SUM(L476:L477)</f>
        <v>0</v>
      </c>
      <c r="M475" s="58">
        <f t="shared" si="109"/>
        <v>0</v>
      </c>
      <c r="N475" s="58">
        <f t="shared" ca="1" si="108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IFERROR(__xludf.DUMMYFUNCTION("IMPORTRANGE(""https://docs.google.com/spreadsheets/d/1C3CXT74ZlgGe6_JY_1olB1XN4rF0dxEuIIF-xsYjHgg/edit?usp=sharing"",""งบกองทุน!Ek91"")"),0)</f>
        <v>0</v>
      </c>
      <c r="M476" s="58">
        <v>0</v>
      </c>
      <c r="N476" s="58">
        <f t="shared" ca="1" si="108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IFERROR(__xludf.DUMMYFUNCTION("IMPORTRANGE(""https://docs.google.com/spreadsheets/d/1C3CXT74ZlgGe6_JY_1olB1XN4rF0dxEuIIF-xsYjHgg/edit?usp=sharing"",""งบกองทุน!El91"")"),0)</f>
        <v>0</v>
      </c>
      <c r="M477" s="58">
        <f>SUM(M478:M481)</f>
        <v>0</v>
      </c>
      <c r="N477" s="58">
        <f t="shared" ca="1" si="108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IFERROR(__xludf.DUMMYFUNCTION("IMPORTRANGE(""https://docs.google.com/spreadsheets/d/1C3CXT74ZlgGe6_JY_1olB1XN4rF0dxEuIIF-xsYjHgg/edit?usp=sharing"",""งบกองทุน!Em91"")"),0)</f>
        <v>0</v>
      </c>
      <c r="J482" s="73">
        <f ca="1">IFERROR(__xludf.DUMMYFUNCTION("IMPORTRANGE(""https://docs.google.com/spreadsheets/d/1AGHcLOeeYFL3K4b9R1dSzyJy00PE_ra89DNTVfnxSWM/edit?usp=sharing"",""รวมที่ชุมชน!G80"")"),0)</f>
        <v>0</v>
      </c>
      <c r="K482" s="250">
        <f t="shared" ref="K482:K489" ca="1" si="110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IFERROR(__xludf.DUMMYFUNCTION("IMPORTRANGE(""https://docs.google.com/spreadsheets/d/1AGHcLOeeYFL3K4b9R1dSzyJy00PE_ra89DNTVfnxSWM/edit?usp=sharing"",""รวมที่ชุมชน!H80"")"),0)</f>
        <v>0</v>
      </c>
      <c r="K483" s="250">
        <f t="shared" si="110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IFERROR(__xludf.DUMMYFUNCTION("IMPORTRANGE(""https://docs.google.com/spreadsheets/d/1C3CXT74ZlgGe6_JY_1olB1XN4rF0dxEuIIF-xsYjHgg/edit?usp=sharing"",""งบกองทุน!Eo91"")"),0)</f>
        <v>0</v>
      </c>
      <c r="J484" s="73">
        <f ca="1">IFERROR(__xludf.DUMMYFUNCTION("IMPORTRANGE(""https://docs.google.com/spreadsheets/d/1AGHcLOeeYFL3K4b9R1dSzyJy00PE_ra89DNTVfnxSWM/edit?usp=sharing"",""รวมที่ชุมชน!J80"")"),0)</f>
        <v>0</v>
      </c>
      <c r="K484" s="250">
        <f t="shared" ca="1" si="110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IFERROR(__xludf.DUMMYFUNCTION("IMPORTRANGE(""https://docs.google.com/spreadsheets/d/1AGHcLOeeYFL3K4b9R1dSzyJy00PE_ra89DNTVfnxSWM/edit?usp=sharing"",""รวมที่ชุมชน!L80"")"),0)</f>
        <v>0</v>
      </c>
      <c r="K485" s="250">
        <f t="shared" si="110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IFERROR(__xludf.DUMMYFUNCTION("IMPORTRANGE(""https://docs.google.com/spreadsheets/d/1C3CXT74ZlgGe6_JY_1olB1XN4rF0dxEuIIF-xsYjHgg/edit?usp=sharing"",""งบกองทุน!Eq91"")"),0)</f>
        <v>0</v>
      </c>
      <c r="J486" s="73">
        <f ca="1">IFERROR(__xludf.DUMMYFUNCTION("IMPORTRANGE(""https://docs.google.com/spreadsheets/d/1AGHcLOeeYFL3K4b9R1dSzyJy00PE_ra89DNTVfnxSWM/edit?usp=sharing"",""รวมที่ชุมชน!S80"")"),0)</f>
        <v>0</v>
      </c>
      <c r="K486" s="250">
        <f t="shared" ca="1" si="110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IFERROR(__xludf.DUMMYFUNCTION("IMPORTRANGE(""https://docs.google.com/spreadsheets/d/1AGHcLOeeYFL3K4b9R1dSzyJy00PE_ra89DNTVfnxSWM/edit?usp=sharing"",""รวมที่ชุมชน!U80"")"),0)</f>
        <v>0</v>
      </c>
      <c r="K487" s="250">
        <f t="shared" si="110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IFERROR(__xludf.DUMMYFUNCTION("IMPORTRANGE(""https://docs.google.com/spreadsheets/d/1C3CXT74ZlgGe6_JY_1olB1XN4rF0dxEuIIF-xsYjHgg/edit?usp=sharing"",""งบกองทุน!Es91"")"),0)</f>
        <v>0</v>
      </c>
      <c r="J488" s="73">
        <f ca="1">IFERROR(__xludf.DUMMYFUNCTION("IMPORTRANGE(""https://docs.google.com/spreadsheets/d/1AGHcLOeeYFL3K4b9R1dSzyJy00PE_ra89DNTVfnxSWM/edit?usp=sharing"",""รวมที่ชุมชน!V80"")"),0)</f>
        <v>0</v>
      </c>
      <c r="K488" s="250">
        <f t="shared" ca="1" si="110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IFERROR(__xludf.DUMMYFUNCTION("IMPORTRANGE(""https://docs.google.com/spreadsheets/d/1AGHcLOeeYFL3K4b9R1dSzyJy00PE_ra89DNTVfnxSWM/edit?usp=sharing"",""รวมที่ชุมชน!X80"")"),0)</f>
        <v>0</v>
      </c>
      <c r="K489" s="385">
        <f t="shared" si="110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1">I504</f>
        <v>50</v>
      </c>
      <c r="J490" s="321">
        <f t="shared" si="111"/>
        <v>0</v>
      </c>
      <c r="K490" s="343">
        <f ca="1">IF(I490&gt;0,J490*100/I490,0)</f>
        <v>0</v>
      </c>
      <c r="L490" s="277">
        <f ca="1">SUM(L491,L492)</f>
        <v>7750</v>
      </c>
      <c r="M490" s="277">
        <f>SUM(M491:M492)</f>
        <v>3400</v>
      </c>
      <c r="N490" s="277">
        <f t="shared" ref="N490:N494" ca="1" si="112">+IF(L490&gt;0,M490*100/L490,0)</f>
        <v>43.87096774193548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2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3">SUM(L493:L494)</f>
        <v>7750</v>
      </c>
      <c r="M492" s="58">
        <f t="shared" si="113"/>
        <v>3400</v>
      </c>
      <c r="N492" s="58">
        <f t="shared" ca="1" si="112"/>
        <v>43.87096774193548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IFERROR(__xludf.DUMMYFUNCTION("IMPORTRANGE(""https://docs.google.com/spreadsheets/d/1C3CXT74ZlgGe6_JY_1olB1XN4rF0dxEuIIF-xsYjHgg/edit?usp=sharing"",""งบกองทุน!Ev91"")"),0)</f>
        <v>0</v>
      </c>
      <c r="M493" s="58">
        <v>0</v>
      </c>
      <c r="N493" s="58">
        <f t="shared" ca="1" si="112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IFERROR(__xludf.DUMMYFUNCTION("IMPORTRANGE(""https://docs.google.com/spreadsheets/d/1C3CXT74ZlgGe6_JY_1olB1XN4rF0dxEuIIF-xsYjHgg/edit?usp=sharing"",""งบกองทุน!Ew91"")"),7750)</f>
        <v>7750</v>
      </c>
      <c r="M494" s="58">
        <f>SUM(M495:M498)</f>
        <v>3400</v>
      </c>
      <c r="N494" s="58">
        <f t="shared" ca="1" si="112"/>
        <v>43.87096774193548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2400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1000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IFERROR(__xludf.DUMMYFUNCTION("IMPORTRANGE(""https://docs.google.com/spreadsheets/d/1C3CXT74ZlgGe6_JY_1olB1XN4rF0dxEuIIF-xsYjHgg/edit?usp=sharing"",""งบกองทุน!EZ91"")"),50)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4">I511+I512</f>
        <v>0</v>
      </c>
      <c r="J510" s="73">
        <f t="shared" si="114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IFERROR(__xludf.DUMMYFUNCTION("IMPORTRANGE(""https://docs.google.com/spreadsheets/d/1C3CXT74ZlgGe6_JY_1olB1XN4rF0dxEuIIF-xsYjHgg/edit?usp=sharing"",""งบกองทุน!ff91"")"),0)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5">I515+I516</f>
        <v>0</v>
      </c>
      <c r="J514" s="53">
        <f t="shared" si="115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6">SUM(I518:I519)</f>
        <v>0</v>
      </c>
      <c r="J517" s="73">
        <f t="shared" si="116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IFERROR(__xludf.DUMMYFUNCTION("IMPORTRANGE(""https://docs.google.com/spreadsheets/d/1muirlRDkqiswvy_NRZ3Yh955hx-PF6_HhssUYiSJj8o/edit?usp=sharing"",""กองทุน!D91"")"),1209766.67)</f>
        <v>1209766.67</v>
      </c>
      <c r="J521" s="214">
        <f ca="1">IFERROR(__xludf.DUMMYFUNCTION("IMPORTRANGE(""https://docs.google.com/spreadsheets/d/1muirlRDkqiswvy_NRZ3Yh955hx-PF6_HhssUYiSJj8o/edit?usp=sharing"",""กองทุน!F91"")"),0)</f>
        <v>0</v>
      </c>
      <c r="K521" s="215">
        <f t="shared" ref="K521:K528" ca="1" si="117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IFERROR(__xludf.DUMMYFUNCTION("IMPORTRANGE(""https://docs.google.com/spreadsheets/d/1muirlRDkqiswvy_NRZ3Yh955hx-PF6_HhssUYiSJj8o/edit?usp=sharing"",""กองทุน!C91"")"),121)</f>
        <v>121</v>
      </c>
      <c r="J522" s="214">
        <f ca="1">IFERROR(__xludf.DUMMYFUNCTION("IMPORTRANGE(""https://docs.google.com/spreadsheets/d/1muirlRDkqiswvy_NRZ3Yh955hx-PF6_HhssUYiSJj8o/edit?usp=sharing"",""กองทุน!E91"")"),0)</f>
        <v>0</v>
      </c>
      <c r="K522" s="215">
        <f t="shared" ca="1" si="117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IFERROR(__xludf.DUMMYFUNCTION("IMPORTRANGE(""https://docs.google.com/spreadsheets/d/1muirlRDkqiswvy_NRZ3Yh955hx-PF6_HhssUYiSJj8o/edit?usp=sharing"",""กองทุน!I91"")"),2205098.42999999)</f>
        <v>2205098.4299999899</v>
      </c>
      <c r="J523" s="214">
        <f ca="1">IFERROR(__xludf.DUMMYFUNCTION("IMPORTRANGE(""https://docs.google.com/spreadsheets/d/1muirlRDkqiswvy_NRZ3Yh955hx-PF6_HhssUYiSJj8o/edit?usp=sharing"",""กองทุน!K91"")"),10134.85)</f>
        <v>10134.85</v>
      </c>
      <c r="K523" s="215">
        <f t="shared" ca="1" si="117"/>
        <v>0.4596098687531171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IFERROR(__xludf.DUMMYFUNCTION("IMPORTRANGE(""https://docs.google.com/spreadsheets/d/1muirlRDkqiswvy_NRZ3Yh955hx-PF6_HhssUYiSJj8o/edit?usp=sharing"",""กองทุน!H91"")"),134)</f>
        <v>134</v>
      </c>
      <c r="J524" s="214">
        <f ca="1">IFERROR(__xludf.DUMMYFUNCTION("IMPORTRANGE(""https://docs.google.com/spreadsheets/d/1muirlRDkqiswvy_NRZ3Yh955hx-PF6_HhssUYiSJj8o/edit?usp=sharing"",""กองทุน!J91"")"),2)</f>
        <v>2</v>
      </c>
      <c r="K524" s="215">
        <f t="shared" ca="1" si="117"/>
        <v>1.4925373134328359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IFERROR(__xludf.DUMMYFUNCTION("IMPORTRANGE(""https://docs.google.com/spreadsheets/d/1muirlRDkqiswvy_NRZ3Yh955hx-PF6_HhssUYiSJj8o/edit?usp=sharing"",""กองทุน!N91"")"),0)</f>
        <v>0</v>
      </c>
      <c r="J525" s="214">
        <f ca="1">IFERROR(__xludf.DUMMYFUNCTION("IMPORTRANGE(""https://docs.google.com/spreadsheets/d/1muirlRDkqiswvy_NRZ3Yh955hx-PF6_HhssUYiSJj8o/edit?usp=sharing"",""กองทุน!P91"")"),0)</f>
        <v>0</v>
      </c>
      <c r="K525" s="215">
        <f t="shared" ca="1" si="117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IFERROR(__xludf.DUMMYFUNCTION("IMPORTRANGE(""https://docs.google.com/spreadsheets/d/1muirlRDkqiswvy_NRZ3Yh955hx-PF6_HhssUYiSJj8o/edit?usp=sharing"",""กองทุน!M91"")"),0)</f>
        <v>0</v>
      </c>
      <c r="J526" s="214">
        <f ca="1">IFERROR(__xludf.DUMMYFUNCTION("IMPORTRANGE(""https://docs.google.com/spreadsheets/d/1muirlRDkqiswvy_NRZ3Yh955hx-PF6_HhssUYiSJj8o/edit?usp=sharing"",""กองทุน!O91"")"),0)</f>
        <v>0</v>
      </c>
      <c r="K526" s="215">
        <f t="shared" ca="1" si="117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IFERROR(__xludf.DUMMYFUNCTION("IMPORTRANGE(""https://docs.google.com/spreadsheets/d/1muirlRDkqiswvy_NRZ3Yh955hx-PF6_HhssUYiSJj8o/edit?usp=sharing"",""กองทุน!S91"")"),900000)</f>
        <v>900000</v>
      </c>
      <c r="J527" s="214">
        <f ca="1">IFERROR(__xludf.DUMMYFUNCTION("IMPORTRANGE(""https://docs.google.com/spreadsheets/d/1muirlRDkqiswvy_NRZ3Yh955hx-PF6_HhssUYiSJj8o/edit?usp=sharing"",""กองทุน!U91"")"),0)</f>
        <v>0</v>
      </c>
      <c r="K527" s="215">
        <f t="shared" ca="1" si="117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IFERROR(__xludf.DUMMYFUNCTION("IMPORTRANGE(""https://docs.google.com/spreadsheets/d/1muirlRDkqiswvy_NRZ3Yh955hx-PF6_HhssUYiSJj8o/edit?usp=sharing"",""กองทุน!R91"")"),30)</f>
        <v>30</v>
      </c>
      <c r="J528" s="342">
        <f ca="1">IFERROR(__xludf.DUMMYFUNCTION("IMPORTRANGE(""https://docs.google.com/spreadsheets/d/1muirlRDkqiswvy_NRZ3Yh955hx-PF6_HhssUYiSJj8o/edit?usp=sharing"",""กองทุน!T91"")"),0)</f>
        <v>0</v>
      </c>
      <c r="K528" s="370">
        <f t="shared" ca="1" si="117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100" workbookViewId="0">
      <selection activeCell="L16" sqref="L1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231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1904145</v>
      </c>
      <c r="M6" s="18">
        <f t="shared" si="0"/>
        <v>170750.11</v>
      </c>
      <c r="N6" s="19">
        <f ca="1">IF(L6&gt;0,M6*100/L6,0)</f>
        <v>8.9672850544470091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IFERROR(__xludf.DUMMYFUNCTION("IMPORTRANGE(""https://docs.google.com/spreadsheets/d/1C3CXT74ZlgGe6_JY_1olB1XN4rF0dxEuIIF-xsYjHgg/edit?usp=sharing"",""พรบ!C92"")"),0)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IFERROR(__xludf.DUMMYFUNCTION("IMPORTRANGE(""https://docs.google.com/spreadsheets/d/1C3CXT74ZlgGe6_JY_1olB1XN4rF0dxEuIIF-xsYjHgg/edit?usp=sharing"",""พรบ!D92"")"),0)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IFERROR(__xludf.DUMMYFUNCTION("IMPORTRANGE(""https://docs.google.com/spreadsheets/d/1C3CXT74ZlgGe6_JY_1olB1XN4rF0dxEuIIF-xsYjHgg/edit?usp=sharing"",""พรบ!E92"")"),0)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IFERROR(__xludf.DUMMYFUNCTION("IMPORTRANGE(""https://docs.google.com/spreadsheets/d/1C3CXT74ZlgGe6_JY_1olB1XN4rF0dxEuIIF-xsYjHgg/edit?usp=sharing"",""พรบ!H92"")"),0)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IFERROR(__xludf.DUMMYFUNCTION("IMPORTRANGE(""https://docs.google.com/spreadsheets/d/1C3CXT74ZlgGe6_JY_1olB1XN4rF0dxEuIIF-xsYjHgg/edit?usp=sharing"",""พรบ!I92"")"),0)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IFERROR(__xludf.DUMMYFUNCTION("IMPORTRANGE(""https://docs.google.com/spreadsheets/d/1C3CXT74ZlgGe6_JY_1olB1XN4rF0dxEuIIF-xsYjHgg/edit?usp=sharing"",""พรบ!J92"")"),0)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IFERROR(__xludf.DUMMYFUNCTION("IMPORTRANGE(""https://docs.google.com/spreadsheets/d/1C3CXT74ZlgGe6_JY_1olB1XN4rF0dxEuIIF-xsYjHgg/edit?usp=sharing"",""พรบ!K92"")"),0)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IFERROR(__xludf.DUMMYFUNCTION("IMPORTRANGE(""https://docs.google.com/spreadsheets/d/1C3CXT74ZlgGe6_JY_1olB1XN4rF0dxEuIIF-xsYjHgg/edit?usp=sharing"",""พรบ!L92"")"),0)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IFERROR(__xludf.DUMMYFUNCTION("IMPORTRANGE(""https://docs.google.com/spreadsheets/d/1C3CXT74ZlgGe6_JY_1olB1XN4rF0dxEuIIF-xsYjHgg/edit?usp=sharing"",""พรบ!M92"")"),0)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IFERROR(__xludf.DUMMYFUNCTION("IMPORTRANGE(""https://docs.google.com/spreadsheets/d/1C3CXT74ZlgGe6_JY_1olB1XN4rF0dxEuIIF-xsYjHgg/edit?usp=sharing"",""พรบ!N92"")"),0)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IFERROR(__xludf.DUMMYFUNCTION("IMPORTRANGE(""https://docs.google.com/spreadsheets/d/1C3CXT74ZlgGe6_JY_1olB1XN4rF0dxEuIIF-xsYjHgg/edit?usp=sharing"",""พรบ!O92"")"),0)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IFERROR(__xludf.DUMMYFUNCTION("IMPORTRANGE(""https://docs.google.com/spreadsheets/d/1C3CXT74ZlgGe6_JY_1olB1XN4rF0dxEuIIF-xsYjHgg/edit?usp=sharing"",""พรบ!P92"")"),0)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IFERROR(__xludf.DUMMYFUNCTION("IMPORTRANGE(""https://docs.google.com/spreadsheets/d/1C3CXT74ZlgGe6_JY_1olB1XN4rF0dxEuIIF-xsYjHgg/edit?usp=sharing"",""พรบ!Q92"")"),0)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IFERROR(__xludf.DUMMYFUNCTION("IMPORTRANGE(""https://docs.google.com/spreadsheets/d/1C3CXT74ZlgGe6_JY_1olB1XN4rF0dxEuIIF-xsYjHgg/edit?usp=sharing"",""พรบ!R92"")"),0)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IFERROR(__xludf.DUMMYFUNCTION("IMPORTRANGE(""https://docs.google.com/spreadsheets/d/1C3CXT74ZlgGe6_JY_1olB1XN4rF0dxEuIIF-xsYjHgg/edit?usp=sharing"",""พรบ!S92"")"),0)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IFERROR(__xludf.DUMMYFUNCTION("IMPORTRANGE(""https://docs.google.com/spreadsheets/d/1C3CXT74ZlgGe6_JY_1olB1XN4rF0dxEuIIF-xsYjHgg/edit?usp=sharing"",""พรบ!T92"")"),0)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IFERROR(__xludf.DUMMYFUNCTION("IMPORTRANGE(""https://docs.google.com/spreadsheets/d/1C3CXT74ZlgGe6_JY_1olB1XN4rF0dxEuIIF-xsYjHgg/edit?usp=sharing"",""พรบ!U92"")"),0)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IFERROR(__xludf.DUMMYFUNCTION("IMPORTRANGE(""https://docs.google.com/spreadsheets/d/1C3CXT74ZlgGe6_JY_1olB1XN4rF0dxEuIIF-xsYjHgg/edit?usp=sharing"",""พรบ!V92"")"),0)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IFERROR(__xludf.DUMMYFUNCTION("IMPORTRANGE(""https://docs.google.com/spreadsheets/d/1C3CXT74ZlgGe6_JY_1olB1XN4rF0dxEuIIF-xsYjHgg/edit?usp=sharing"",""พรบ!W92"")"),0)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15</v>
      </c>
      <c r="J52" s="43">
        <f>+J62</f>
        <v>0</v>
      </c>
      <c r="K52" s="44">
        <f ca="1">IF(I52&gt;0,J52*100/I52,0)</f>
        <v>0</v>
      </c>
      <c r="L52" s="45">
        <f ca="1">L53+L54</f>
        <v>64890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IFERROR(__xludf.DUMMYFUNCTION("IMPORTRANGE(""https://docs.google.com/spreadsheets/d/1C3CXT74ZlgGe6_JY_1olB1XN4rF0dxEuIIF-xsYjHgg/edit?usp=sharing"",""พรบ!Y92"")"),0)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IFERROR(__xludf.DUMMYFUNCTION("IMPORTRANGE(""https://docs.google.com/spreadsheets/d/1C3CXT74ZlgGe6_JY_1olB1XN4rF0dxEuIIF-xsYjHgg/edit?usp=sharing"",""พรบ!Z92"")"),64890)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4">
        <v>0</v>
      </c>
      <c r="K60" s="54"/>
      <c r="L60" s="66"/>
      <c r="M60" s="66"/>
      <c r="N60" s="66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4">
        <v>0</v>
      </c>
      <c r="K61" s="54"/>
      <c r="L61" s="66"/>
      <c r="M61" s="66"/>
      <c r="N61" s="66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IFERROR(__xludf.DUMMYFUNCTION("IMPORTRANGE(""https://docs.google.com/spreadsheets/d/1C3CXT74ZlgGe6_JY_1olB1XN4rF0dxEuIIF-xsYjHgg/edit?usp=sharing"",""พรบ!AA92"")"),15)</f>
        <v>15</v>
      </c>
      <c r="J62" s="74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15</v>
      </c>
      <c r="J63" s="74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4"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204900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204900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IFERROR(__xludf.DUMMYFUNCTION("IMPORTRANGE(""https://docs.google.com/spreadsheets/d/1C3CXT74ZlgGe6_JY_1olB1XN4rF0dxEuIIF-xsYjHgg/edit?usp=sharing"",""พรบ!AD92"")"),0)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204900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IFERROR(__xludf.DUMMYFUNCTION("IMPORTRANGE(""https://docs.google.com/spreadsheets/d/1C3CXT74ZlgGe6_JY_1olB1XN4rF0dxEuIIF-xsYjHgg/edit?usp=sharing"",""พรบ!AF92"")"),7500)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IFERROR(__xludf.DUMMYFUNCTION("IMPORTRANGE(""https://docs.google.com/spreadsheets/d/1C3CXT74ZlgGe6_JY_1olB1XN4rF0dxEuIIF-xsYjHgg/edit?usp=sharing"",""พรบ!AG92"")"),4)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6</v>
      </c>
      <c r="J89" s="161">
        <f t="shared" si="21"/>
        <v>0</v>
      </c>
      <c r="K89" s="162">
        <f ca="1">IF(I89&gt;0,J89*100/I89,0)</f>
        <v>0</v>
      </c>
      <c r="L89" s="159">
        <f ca="1">L90+L91</f>
        <v>84000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84000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IFERROR(__xludf.DUMMYFUNCTION("IMPORTRANGE(""https://docs.google.com/spreadsheets/d/1C3CXT74ZlgGe6_JY_1olB1XN4rF0dxEuIIF-xsYjHgg/edit?usp=sharing"",""พรบ!AH92"")"),84000)</f>
        <v>84000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0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0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IFERROR(__xludf.DUMMYFUNCTION("IMPORTRANGE(""https://docs.google.com/spreadsheets/d/1C3CXT74ZlgGe6_JY_1olB1XN4rF0dxEuIIF-xsYjHgg/edit?usp=sharing"",""พรบ!AI92"")"),6)</f>
        <v>6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IFERROR(__xludf.DUMMYFUNCTION("IMPORTRANGE(""https://docs.google.com/spreadsheets/d/1C3CXT74ZlgGe6_JY_1olB1XN4rF0dxEuIIF-xsYjHgg/edit?usp=sharing"",""กปร!C92"")"),24000)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7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105000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105000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IFERROR(__xludf.DUMMYFUNCTION("IMPORTRANGE(""https://docs.google.com/spreadsheets/d/1C3CXT74ZlgGe6_JY_1olB1XN4rF0dxEuIIF-xsYjHgg/edit?usp=sharing"",""พรบ!AJ92"")"),105000)</f>
        <v>105000</v>
      </c>
      <c r="M104" s="59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4">
        <v>0</v>
      </c>
      <c r="K106" s="54"/>
      <c r="L106" s="66"/>
      <c r="M106" s="66"/>
      <c r="N106" s="66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4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4">
        <v>0</v>
      </c>
      <c r="K108" s="54"/>
      <c r="L108" s="66"/>
      <c r="M108" s="66"/>
      <c r="N108" s="66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4">
        <v>0</v>
      </c>
      <c r="K109" s="54"/>
      <c r="L109" s="66"/>
      <c r="M109" s="66"/>
      <c r="N109" s="66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IFERROR(__xludf.DUMMYFUNCTION("IMPORTRANGE(""https://docs.google.com/spreadsheets/d/1C3CXT74ZlgGe6_JY_1olB1XN4rF0dxEuIIF-xsYjHgg/edit?usp=sharing"",""พรบ!AK92"")"),7)</f>
        <v>7</v>
      </c>
      <c r="J110" s="74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IFERROR(__xludf.DUMMYFUNCTION("IMPORTRANGE(""https://docs.google.com/spreadsheets/d/1C3CXT74ZlgGe6_JY_1olB1XN4rF0dxEuIIF-xsYjHgg/edit?usp=sharing"",""กปร!D92"")"),35000)</f>
        <v>35000</v>
      </c>
      <c r="M110" s="383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IFERROR(__xludf.DUMMYFUNCTION("IMPORTRANGE(""https://docs.google.com/spreadsheets/d/1C3CXT74ZlgGe6_JY_1olB1XN4rF0dxEuIIF-xsYjHgg/edit?usp=sharing"",""พรบ!AL92"")"),7)</f>
        <v>7</v>
      </c>
      <c r="J111" s="74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IFERROR(__xludf.DUMMYFUNCTION("IMPORTRANGE(""https://docs.google.com/spreadsheets/d/1C3CXT74ZlgGe6_JY_1olB1XN4rF0dxEuIIF-xsYjHgg/edit?usp=sharing"",""กปร!E92"")"),56000)</f>
        <v>56000</v>
      </c>
      <c r="M111" s="383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4">
        <v>0</v>
      </c>
      <c r="K112" s="54"/>
      <c r="L112" s="66"/>
      <c r="M112" s="66"/>
      <c r="N112" s="66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90">
        <v>0</v>
      </c>
      <c r="K113" s="54"/>
      <c r="L113" s="66"/>
      <c r="M113" s="66"/>
      <c r="N113" s="66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15000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8400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8400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IFERROR(__xludf.DUMMYFUNCTION("IMPORTRANGE(""https://docs.google.com/spreadsheets/d/1C3CXT74ZlgGe6_JY_1olB1XN4rF0dxEuIIF-xsYjHgg/edit?usp=sharing"",""พรบ!AM92"")"),8400)</f>
        <v>8400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IFERROR(__xludf.DUMMYFUNCTION("IMPORTRANGE(""https://docs.google.com/spreadsheets/d/1C3CXT74ZlgGe6_JY_1olB1XN4rF0dxEuIIF-xsYjHgg/edit?usp=sharing"",""พรบ!AO92"")"),15000)</f>
        <v>15000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IFERROR(__xludf.DUMMYFUNCTION("IMPORTRANGE(""https://docs.google.com/spreadsheets/d/1C3CXT74ZlgGe6_JY_1olB1XN4rF0dxEuIIF-xsYjHgg/edit?usp=sharing"",""พรบ!AP92"")"),15000)</f>
        <v>15000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IFERROR(__xludf.DUMMYFUNCTION("IMPORTRANGE(""https://docs.google.com/spreadsheets/d/1C3CXT74ZlgGe6_JY_1olB1XN4rF0dxEuIIF-xsYjHgg/edit?usp=sharing"",""กปร!F92"")"),4400)</f>
        <v>4400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IFERROR(__xludf.DUMMYFUNCTION("IMPORTRANGE(""https://docs.google.com/spreadsheets/d/1C3CXT74ZlgGe6_JY_1olB1XN4rF0dxEuIIF-xsYjHgg/edit?usp=sharing"",""พรบ!AQ92"")"),0)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IFERROR(__xludf.DUMMYFUNCTION("IMPORTRANGE(""https://docs.google.com/spreadsheets/d/1C3CXT74ZlgGe6_JY_1olB1XN4rF0dxEuIIF-xsYjHgg/edit?usp=sharing"",""กปร!G92"")"),0)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IFERROR(__xludf.DUMMYFUNCTION("IMPORTRANGE(""https://docs.google.com/spreadsheets/d/1C3CXT74ZlgGe6_JY_1olB1XN4rF0dxEuIIF-xsYjHgg/edit?usp=sharing"",""พรบ!AR92"")"),0)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IFERROR(__xludf.DUMMYFUNCTION("IMPORTRANGE(""https://docs.google.com/spreadsheets/d/1C3CXT74ZlgGe6_JY_1olB1XN4rF0dxEuIIF-xsYjHgg/edit?usp=sharing"",""พรบ!AS92"")"),0)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IFERROR(__xludf.DUMMYFUNCTION("IMPORTRANGE(""https://docs.google.com/spreadsheets/d/1C3CXT74ZlgGe6_JY_1olB1XN4rF0dxEuIIF-xsYjHgg/edit?usp=sharing"",""กปร!H92"")"),0)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IFERROR(__xludf.DUMMYFUNCTION("IMPORTRANGE(""https://docs.google.com/spreadsheets/d/1C3CXT74ZlgGe6_JY_1olB1XN4rF0dxEuIIF-xsYjHgg/edit?usp=sharing"",""พรบ!AT92"")"),0)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IFERROR(__xludf.DUMMYFUNCTION("IMPORTRANGE(""https://docs.google.com/spreadsheets/d/1C3CXT74ZlgGe6_JY_1olB1XN4rF0dxEuIIF-xsYjHgg/edit?usp=sharing"",""กปร!I92"")"),0)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IFERROR(__xludf.DUMMYFUNCTION("IMPORTRANGE(""https://docs.google.com/spreadsheets/d/1C3CXT74ZlgGe6_JY_1olB1XN4rF0dxEuIIF-xsYjHgg/edit?usp=sharing"",""พรบ!AU92"")"),0)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IFERROR(__xludf.DUMMYFUNCTION("IMPORTRANGE(""https://docs.google.com/spreadsheets/d/1C3CXT74ZlgGe6_JY_1olB1XN4rF0dxEuIIF-xsYjHgg/edit?usp=sharing"",""กปร!J92"")"),0)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IFERROR(__xludf.DUMMYFUNCTION("IMPORTRANGE(""https://docs.google.com/spreadsheets/d/1C3CXT74ZlgGe6_JY_1olB1XN4rF0dxEuIIF-xsYjHgg/edit?usp=sharing"",""พรบ!AY92"")"),21125)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0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IFERROR(__xludf.DUMMYFUNCTION("IMPORTRANGE(""https://docs.google.com/spreadsheets/d/1C3CXT74ZlgGe6_JY_1olB1XN4rF0dxEuIIF-xsYjHgg/edit?usp=sharing"",""พรบ!BA92"")"),15)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IFERROR(__xludf.DUMMYFUNCTION("IMPORTRANGE(""https://docs.google.com/spreadsheets/d/1C3CXT74ZlgGe6_JY_1olB1XN4rF0dxEuIIF-xsYjHgg/edit?usp=sharing"",""พรบ!BD92"")"),0)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IFERROR(__xludf.DUMMYFUNCTION("IMPORTRANGE(""https://docs.google.com/spreadsheets/d/1C3CXT74ZlgGe6_JY_1olB1XN4rF0dxEuIIF-xsYjHgg/edit?usp=sharing"",""พรบ!BE92"")"),0)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IFERROR(__xludf.DUMMYFUNCTION("IMPORTRANGE(""https://docs.google.com/spreadsheets/d/1C3CXT74ZlgGe6_JY_1olB1XN4rF0dxEuIIF-xsYjHgg/edit?usp=sharing"",""พรบ!BF92"")"),0)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IFERROR(__xludf.DUMMYFUNCTION("IMPORTRANGE(""https://docs.google.com/spreadsheets/d/1C3CXT74ZlgGe6_JY_1olB1XN4rF0dxEuIIF-xsYjHgg/edit?usp=sharing"",""พรบ!BG92"")"),0)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IFERROR(__xludf.DUMMYFUNCTION("IMPORTRANGE(""https://docs.google.com/spreadsheets/d/1C3CXT74ZlgGe6_JY_1olB1XN4rF0dxEuIIF-xsYjHgg/edit?usp=sharing"",""พรบ!BH92"")"),0)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IFERROR(__xludf.DUMMYFUNCTION("IMPORTRANGE(""https://docs.google.com/spreadsheets/d/1C3CXT74ZlgGe6_JY_1olB1XN4rF0dxEuIIF-xsYjHgg/edit?usp=sharing"",""พรบ!BI92"")"),0)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15</v>
      </c>
      <c r="J185" s="191">
        <f>+J195</f>
        <v>0</v>
      </c>
      <c r="K185" s="192">
        <f ca="1">IF(I185&gt;0,J185*100/I185,0)</f>
        <v>0</v>
      </c>
      <c r="L185" s="193">
        <f ca="1">L186+L187</f>
        <v>187200</v>
      </c>
      <c r="M185" s="193">
        <f>SUM(M186:M187)</f>
        <v>11000</v>
      </c>
      <c r="N185" s="192">
        <f ca="1">IF(L185&gt;0,M185*100/L185,0)</f>
        <v>5.8760683760683765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187200</v>
      </c>
      <c r="M187" s="55">
        <f t="shared" si="43"/>
        <v>11000</v>
      </c>
      <c r="N187" s="55">
        <f t="shared" ca="1" si="42"/>
        <v>5.8760683760683765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IFERROR(__xludf.DUMMYFUNCTION("IMPORTRANGE(""https://docs.google.com/spreadsheets/d/1C3CXT74ZlgGe6_JY_1olB1XN4rF0dxEuIIF-xsYjHgg/edit?usp=sharing"",""พรบ!BK92"")"),132000)</f>
        <v>132000</v>
      </c>
      <c r="M188" s="59">
        <v>11000</v>
      </c>
      <c r="N188" s="58">
        <f t="shared" ca="1" si="42"/>
        <v>8.3333333333333339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IFERROR(__xludf.DUMMYFUNCTION("IMPORTRANGE(""https://docs.google.com/spreadsheets/d/1C3CXT74ZlgGe6_JY_1olB1XN4rF0dxEuIIF-xsYjHgg/edit?usp=sharing"",""พรบ!BL92"")"),55200)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v>1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4">
        <v>1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4">
        <v>0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IFERROR(__xludf.DUMMYFUNCTION("IMPORTRANGE(""https://docs.google.com/spreadsheets/d/1C3CXT74ZlgGe6_JY_1olB1XN4rF0dxEuIIF-xsYjHgg/edit?usp=sharing"",""พรบ!BM92"")"),15)</f>
        <v>15</v>
      </c>
      <c r="J195" s="74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4"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15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81820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81820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IFERROR(__xludf.DUMMYFUNCTION("IMPORTRANGE(""https://docs.google.com/spreadsheets/d/1C3CXT74ZlgGe6_JY_1olB1XN4rF0dxEuIIF-xsYjHgg/edit?usp=sharing"",""พรบ!BP92"")"),81820)</f>
        <v>81820</v>
      </c>
      <c r="M203" s="59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4">
        <v>0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4"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4">
        <v>1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4">
        <v>1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IFERROR(__xludf.DUMMYFUNCTION("IMPORTRANGE(""https://docs.google.com/spreadsheets/d/1C3CXT74ZlgGe6_JY_1olB1XN4rF0dxEuIIF-xsYjHgg/edit?usp=sharing"",""พรบ!BQ92"")"),15)</f>
        <v>15</v>
      </c>
      <c r="J209" s="74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IFERROR(__xludf.DUMMYFUNCTION("IMPORTRANGE(""https://docs.google.com/spreadsheets/d/1C3CXT74ZlgGe6_JY_1olB1XN4rF0dxEuIIF-xsYjHgg/edit?usp=sharing"",""พรบ!BR92"")"),15)</f>
        <v>15</v>
      </c>
      <c r="J211" s="74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4"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201"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1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217600</v>
      </c>
      <c r="M214" s="211">
        <f>SUM(M215:M216)</f>
        <v>38510</v>
      </c>
      <c r="N214" s="210">
        <f ca="1">IF(L214&gt;0,M214*100/L214,0)</f>
        <v>17.697610294117649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217600</v>
      </c>
      <c r="M216" s="58">
        <f t="shared" si="49"/>
        <v>38510</v>
      </c>
      <c r="N216" s="58">
        <f t="shared" ca="1" si="48"/>
        <v>17.697610294117649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IFERROR(__xludf.DUMMYFUNCTION("IMPORTRANGE(""https://docs.google.com/spreadsheets/d/1C3CXT74ZlgGe6_JY_1olB1XN4rF0dxEuIIF-xsYjHgg/edit?usp=sharing"",""พรบ!BU92"")"),217600)</f>
        <v>217600</v>
      </c>
      <c r="M218" s="59">
        <v>38510</v>
      </c>
      <c r="N218" s="58">
        <f t="shared" ca="1" si="48"/>
        <v>17.697610294117649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4"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4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4">
        <v>1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4">
        <v>0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IFERROR(__xludf.DUMMYFUNCTION("IMPORTRANGE(""https://docs.google.com/spreadsheets/d/1C3CXT74ZlgGe6_JY_1olB1XN4rF0dxEuIIF-xsYjHgg/edit?usp=sharing"",""พรบ!BV92"")"),1)</f>
        <v>1</v>
      </c>
      <c r="J224" s="74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4"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90"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210</v>
      </c>
      <c r="J228" s="212">
        <f ca="1">J240</f>
        <v>0</v>
      </c>
      <c r="K228" s="192">
        <f ca="1">IF(I228&gt;0,J228*100/I228,0)</f>
        <v>0</v>
      </c>
      <c r="L228" s="193">
        <f ca="1">L229+L230</f>
        <v>1126610</v>
      </c>
      <c r="M228" s="193">
        <f>SUM(M229:M230)</f>
        <v>121240.11</v>
      </c>
      <c r="N228" s="192">
        <f ca="1">IF(L228&gt;0,M228*100/L228,0)</f>
        <v>10.761497767639201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1126610</v>
      </c>
      <c r="M230" s="58">
        <f t="shared" si="51"/>
        <v>121240.11</v>
      </c>
      <c r="N230" s="58">
        <f t="shared" ca="1" si="50"/>
        <v>10.761497767639201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IFERROR(__xludf.DUMMYFUNCTION("IMPORTRANGE(""https://docs.google.com/spreadsheets/d/1C3CXT74ZlgGe6_JY_1olB1XN4rF0dxEuIIF-xsYjHgg/edit?usp=sharing"",""พรบ!BX92"")"),773000)</f>
        <v>773000</v>
      </c>
      <c r="M231" s="59">
        <v>87450.11</v>
      </c>
      <c r="N231" s="58">
        <f t="shared" ca="1" si="50"/>
        <v>11.31308020698577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IFERROR(__xludf.DUMMYFUNCTION("IMPORTRANGE(""https://docs.google.com/spreadsheets/d/1C3CXT74ZlgGe6_JY_1olB1XN4rF0dxEuIIF-xsYjHgg/edit?usp=sharing"",""พรบ!BY92"")"),353610)</f>
        <v>353610</v>
      </c>
      <c r="M232" s="59">
        <v>33790</v>
      </c>
      <c r="N232" s="58">
        <f t="shared" ca="1" si="50"/>
        <v>9.5557252340148757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IFERROR(__xludf.DUMMYFUNCTION("IMPORTRANGE(""https://docs.google.com/spreadsheets/d/1AGHcLOeeYFL3K4b9R1dSzyJy00PE_ra89DNTVfnxSWM/edit?usp=sharing"",""รวมที่ทำกิน!J81"")"),37)</f>
        <v>37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IFERROR(__xludf.DUMMYFUNCTION("IMPORTRANGE(""https://docs.google.com/spreadsheets/d/1C3CXT74ZlgGe6_JY_1olB1XN4rF0dxEuIIF-xsYjHgg/edit?usp=sharing"",""พรบ!BZ92"")"),1720)</f>
        <v>1720</v>
      </c>
      <c r="J235" s="73">
        <f ca="1">IFERROR(__xludf.DUMMYFUNCTION("IMPORTRANGE(""https://docs.google.com/spreadsheets/d/1AGHcLOeeYFL3K4b9R1dSzyJy00PE_ra89DNTVfnxSWM/edit?usp=sharing"",""รวมที่ทำกิน!L81"")"),499.77)</f>
        <v>499.77</v>
      </c>
      <c r="K235" s="215">
        <f t="shared" ca="1" si="52"/>
        <v>29.05639534883721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IFERROR(__xludf.DUMMYFUNCTION("IMPORTRANGE(""https://docs.google.com/spreadsheets/d/1C3CXT74ZlgGe6_JY_1olB1XN4rF0dxEuIIF-xsYjHgg/edit?usp=sharing"",""พรบ!CA92"")"),210)</f>
        <v>210</v>
      </c>
      <c r="J236" s="73">
        <f ca="1">IFERROR(__xludf.DUMMYFUNCTION("IMPORTRANGE(""https://docs.google.com/spreadsheets/d/1AGHcLOeeYFL3K4b9R1dSzyJy00PE_ra89DNTVfnxSWM/edit?usp=sharing"",""รวมที่ทำกิน!O81"")"),0)</f>
        <v>0</v>
      </c>
      <c r="K236" s="215">
        <f t="shared" ca="1" si="52"/>
        <v>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IFERROR(__xludf.DUMMYFUNCTION("IMPORTRANGE(""https://docs.google.com/spreadsheets/d/1AGHcLOeeYFL3K4b9R1dSzyJy00PE_ra89DNTVfnxSWM/edit?usp=sharing"",""รวมที่ทำกิน!Q81"")"),0)</f>
        <v>0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IFERROR(__xludf.DUMMYFUNCTION("IMPORTRANGE(""https://docs.google.com/spreadsheets/d/1C3CXT74ZlgGe6_JY_1olB1XN4rF0dxEuIIF-xsYjHgg/edit?usp=sharing"",""พรบ!CB92"")"),210)</f>
        <v>210</v>
      </c>
      <c r="J238" s="73">
        <f ca="1">IFERROR(__xludf.DUMMYFUNCTION("IMPORTRANGE(""https://docs.google.com/spreadsheets/d/1AGHcLOeeYFL3K4b9R1dSzyJy00PE_ra89DNTVfnxSWM/edit?usp=sharing"",""รวมที่ทำกิน!S81"")"),0)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IFERROR(__xludf.DUMMYFUNCTION("IMPORTRANGE(""https://docs.google.com/spreadsheets/d/1AGHcLOeeYFL3K4b9R1dSzyJy00PE_ra89DNTVfnxSWM/edit?usp=sharing"",""รวมที่ทำกิน!U81"")"),0)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IFERROR(__xludf.DUMMYFUNCTION("IMPORTRANGE(""https://docs.google.com/spreadsheets/d/1C3CXT74ZlgGe6_JY_1olB1XN4rF0dxEuIIF-xsYjHgg/edit?usp=sharing"",""พรบ!CC92"")"),210)</f>
        <v>210</v>
      </c>
      <c r="J240" s="73">
        <f ca="1">IFERROR(__xludf.DUMMYFUNCTION("IMPORTRANGE(""https://docs.google.com/spreadsheets/d/1AGHcLOeeYFL3K4b9R1dSzyJy00PE_ra89DNTVfnxSWM/edit?usp=sharing"",""รวมที่ทำกิน!W81"")"),0)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IFERROR(__xludf.DUMMYFUNCTION("IMPORTRANGE(""https://docs.google.com/spreadsheets/d/1AGHcLOeeYFL3K4b9R1dSzyJy00PE_ra89DNTVfnxSWM/edit?usp=sharing"",""รวมที่ทำกิน!Y81"")"),0)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1637464</v>
      </c>
      <c r="M242" s="230">
        <f t="shared" si="53"/>
        <v>48805</v>
      </c>
      <c r="N242" s="230">
        <f ca="1">+IF(L242&gt;0,M242*100/L242,0)</f>
        <v>2.9805235412809075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230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461480</v>
      </c>
      <c r="M244" s="246">
        <f t="shared" si="56"/>
        <v>25855</v>
      </c>
      <c r="N244" s="246">
        <f ca="1">+IF(L244&gt;0,M244*100/L244,0)</f>
        <v>5.6026263326688044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60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461480</v>
      </c>
      <c r="M247" s="55">
        <f t="shared" si="59"/>
        <v>25855</v>
      </c>
      <c r="N247" s="55">
        <f t="shared" ca="1" si="58"/>
        <v>5.6026263326688044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IFERROR(__xludf.DUMMYFUNCTION("IMPORTRANGE(""https://docs.google.com/spreadsheets/d/1C3CXT74ZlgGe6_JY_1olB1XN4rF0dxEuIIF-xsYjHgg/edit?usp=sharing"",""งบกองทุน!d92"")"),0)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IFERROR(__xludf.DUMMYFUNCTION("IMPORTRANGE(""https://docs.google.com/spreadsheets/d/1C3CXT74ZlgGe6_JY_1olB1XN4rF0dxEuIIF-xsYjHgg/edit?usp=sharing"",""งบกองทุน!e92"")"),461480)</f>
        <v>461480</v>
      </c>
      <c r="M249" s="58">
        <f>SUM(M250:M253)</f>
        <v>25855</v>
      </c>
      <c r="N249" s="58">
        <f t="shared" ca="1" si="58"/>
        <v>5.6026263326688044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9935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15920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0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IFERROR(__xludf.DUMMYFUNCTION("IMPORTRANGE(""https://docs.google.com/spreadsheets/d/1C3CXT74ZlgGe6_JY_1olB1XN4rF0dxEuIIF-xsYjHgg/edit?usp=sharing"",""งบกองทุน!f92"")"),0)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230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IFERROR(__xludf.DUMMYFUNCTION("IMPORTRANGE(""https://docs.google.com/spreadsheets/d/1C3CXT74ZlgGe6_JY_1olB1XN4rF0dxEuIIF-xsYjHgg/edit?usp=sharing"",""งบกองทุน!H92"")"),60)</f>
        <v>60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IFERROR(__xludf.DUMMYFUNCTION("IMPORTRANGE(""https://docs.google.com/spreadsheets/d/1C3CXT74ZlgGe6_JY_1olB1XN4rF0dxEuIIF-xsYjHgg/edit?usp=sharing"",""งบกองทุน!i92"")"),150)</f>
        <v>150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60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IFERROR(__xludf.DUMMYFUNCTION("IMPORTRANGE(""https://docs.google.com/spreadsheets/d/1C3CXT74ZlgGe6_JY_1olB1XN4rF0dxEuIIF-xsYjHgg/edit?usp=sharing"",""งบกองทุน!k92"")"),80)</f>
        <v>80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60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IFERROR(__xludf.DUMMYFUNCTION("IMPORTRANGE(""https://docs.google.com/spreadsheets/d/1C3CXT74ZlgGe6_JY_1olB1XN4rF0dxEuIIF-xsYjHgg/edit?usp=sharing"",""งบกองทุน!m92"")"),0)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230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IFERROR(__xludf.DUMMYFUNCTION("IMPORTRANGE(""https://docs.google.com/spreadsheets/d/1C3CXT74ZlgGe6_JY_1olB1XN4rF0dxEuIIF-xsYjHgg/edit?usp=sharing"",""งบกองทุน!o92"")"),80)</f>
        <v>80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IFERROR(__xludf.DUMMYFUNCTION("IMPORTRANGE(""https://docs.google.com/spreadsheets/d/1C3CXT74ZlgGe6_JY_1olB1XN4rF0dxEuIIF-xsYjHgg/edit?usp=sharing"",""งบกองทุน!p92"")"),150)</f>
        <v>150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200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207560</v>
      </c>
      <c r="M275" s="246">
        <f t="shared" si="65"/>
        <v>1500</v>
      </c>
      <c r="N275" s="246">
        <f ca="1">+IF(L275&gt;0,M275*100/L275,0)</f>
        <v>0.72268259780304489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20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207560</v>
      </c>
      <c r="M278" s="55">
        <f t="shared" si="67"/>
        <v>1500</v>
      </c>
      <c r="N278" s="55">
        <f t="shared" ca="1" si="66"/>
        <v>0.72268259780304489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IFERROR(__xludf.DUMMYFUNCTION("IMPORTRANGE(""https://docs.google.com/spreadsheets/d/1C3CXT74ZlgGe6_JY_1olB1XN4rF0dxEuIIF-xsYjHgg/edit?usp=sharing"",""งบกองทุน!r92"")"),0)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IFERROR(__xludf.DUMMYFUNCTION("IMPORTRANGE(""https://docs.google.com/spreadsheets/d/1C3CXT74ZlgGe6_JY_1olB1XN4rF0dxEuIIF-xsYjHgg/edit?usp=sharing"",""งบกองทุน!s92"")"),207560)</f>
        <v>207560</v>
      </c>
      <c r="M280" s="58">
        <f>SUM(M281:M284)</f>
        <v>1500</v>
      </c>
      <c r="N280" s="58">
        <f t="shared" ca="1" si="66"/>
        <v>0.72268259780304489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1500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0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IFERROR(__xludf.DUMMYFUNCTION("IMPORTRANGE(""https://docs.google.com/spreadsheets/d/1C3CXT74ZlgGe6_JY_1olB1XN4rF0dxEuIIF-xsYjHgg/edit?usp=sharing"",""งบกองทุน!v92"")"),20)</f>
        <v>20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IFERROR(__xludf.DUMMYFUNCTION("IMPORTRANGE(""https://docs.google.com/spreadsheets/d/1C3CXT74ZlgGe6_JY_1olB1XN4rF0dxEuIIF-xsYjHgg/edit?usp=sharing"",""งบกองทุน!w92"")"),200)</f>
        <v>200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IFERROR(__xludf.DUMMYFUNCTION("IMPORTRANGE(""https://docs.google.com/spreadsheets/d/1C3CXT74ZlgGe6_JY_1olB1XN4rF0dxEuIIF-xsYjHgg/edit?usp=sharing"",""งบกองทุน!x92"")"),20)</f>
        <v>20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150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158400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50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158400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IFERROR(__xludf.DUMMYFUNCTION("IMPORTRANGE(""https://docs.google.com/spreadsheets/d/1C3CXT74ZlgGe6_JY_1olB1XN4rF0dxEuIIF-xsYjHgg/edit?usp=sharing"",""งบกองทุน!z92"")"),0)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IFERROR(__xludf.DUMMYFUNCTION("IMPORTRANGE(""https://docs.google.com/spreadsheets/d/1C3CXT74ZlgGe6_JY_1olB1XN4rF0dxEuIIF-xsYjHgg/edit?usp=sharing"",""งบกองทุน!aa92"")"),158400)</f>
        <v>158400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0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0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50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IFERROR(__xludf.DUMMYFUNCTION("IMPORTRANGE(""https://docs.google.com/spreadsheets/d/1C3CXT74ZlgGe6_JY_1olB1XN4rF0dxEuIIF-xsYjHgg/edit?usp=sharing"",""งบกองทุน!ae92"")"),0)</f>
        <v>0</v>
      </c>
      <c r="J312" s="391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IFERROR(__xludf.DUMMYFUNCTION("IMPORTRANGE(""https://docs.google.com/spreadsheets/d/1C3CXT74ZlgGe6_JY_1olB1XN4rF0dxEuIIF-xsYjHgg/edit?usp=sharing"",""งบกองทุน!ad92"")"),0)</f>
        <v>0</v>
      </c>
      <c r="J313" s="391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IFERROR(__xludf.DUMMYFUNCTION("IMPORTRANGE(""https://docs.google.com/spreadsheets/d/1C3CXT74ZlgGe6_JY_1olB1XN4rF0dxEuIIF-xsYjHgg/edit?usp=sharing"",""งบกองทุน!af92"")"),0)</f>
        <v>0</v>
      </c>
      <c r="J314" s="392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IFERROR(__xludf.DUMMYFUNCTION("IMPORTRANGE(""https://docs.google.com/spreadsheets/d/1C3CXT74ZlgGe6_JY_1olB1XN4rF0dxEuIIF-xsYjHgg/edit?usp=sharing"",""งบกองทุน!ag92"")"),0)</f>
        <v>0</v>
      </c>
      <c r="J315" s="392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IFERROR(__xludf.DUMMYFUNCTION("IMPORTRANGE(""https://docs.google.com/spreadsheets/d/1C3CXT74ZlgGe6_JY_1olB1XN4rF0dxEuIIF-xsYjHgg/edit?usp=sharing"",""งบกองทุน!ai92"")"),40)</f>
        <v>40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IFERROR(__xludf.DUMMYFUNCTION("IMPORTRANGE(""https://docs.google.com/spreadsheets/d/1C3CXT74ZlgGe6_JY_1olB1XN4rF0dxEuIIF-xsYjHgg/edit?usp=sharing"",""งบกองทุน!ah92"")"),120)</f>
        <v>120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IFERROR(__xludf.DUMMYFUNCTION("IMPORTRANGE(""https://docs.google.com/spreadsheets/d/1C3CXT74ZlgGe6_JY_1olB1XN4rF0dxEuIIF-xsYjHgg/edit?usp=sharing"",""งบกองทุน!aj92"")"),40)</f>
        <v>40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IFERROR(__xludf.DUMMYFUNCTION("IMPORTRANGE(""https://docs.google.com/spreadsheets/d/1C3CXT74ZlgGe6_JY_1olB1XN4rF0dxEuIIF-xsYjHgg/edit?usp=sharing"",""งบกองทุน!ak92"")"),40)</f>
        <v>40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IFERROR(__xludf.DUMMYFUNCTION("IMPORTRANGE(""https://docs.google.com/spreadsheets/d/1C3CXT74ZlgGe6_JY_1olB1XN4rF0dxEuIIF-xsYjHgg/edit?usp=sharing"",""งบกองทุน!al92"")"),40)</f>
        <v>40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IFERROR(__xludf.DUMMYFUNCTION("IMPORTRANGE(""https://docs.google.com/spreadsheets/d/1C3CXT74ZlgGe6_JY_1olB1XN4rF0dxEuIIF-xsYjHgg/edit?usp=sharing"",""งบกองทุน!an92"")"),10)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IFERROR(__xludf.DUMMYFUNCTION("IMPORTRANGE(""https://docs.google.com/spreadsheets/d/1C3CXT74ZlgGe6_JY_1olB1XN4rF0dxEuIIF-xsYjHgg/edit?usp=sharing"",""งบกองทุน!am92"")"),30)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IFERROR(__xludf.DUMMYFUNCTION("IMPORTRANGE(""https://docs.google.com/spreadsheets/d/1C3CXT74ZlgGe6_JY_1olB1XN4rF0dxEuIIF-xsYjHgg/edit?usp=sharing"",""งบกองทุน!ao92"")"),10)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IFERROR(__xludf.DUMMYFUNCTION("IMPORTRANGE(""https://docs.google.com/spreadsheets/d/1C3CXT74ZlgGe6_JY_1olB1XN4rF0dxEuIIF-xsYjHgg/edit?usp=sharing"",""งบกองทุน!ap92"")"),10)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40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IFERROR(__xludf.DUMMYFUNCTION("IMPORTRANGE(""https://docs.google.com/spreadsheets/d/1C3CXT74ZlgGe6_JY_1olB1XN4rF0dxEuIIF-xsYjHgg/edit?usp=sharing"",""งบกองทุน!ar92"")"),0)</f>
        <v>0</v>
      </c>
      <c r="J326" s="392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IFERROR(__xludf.DUMMYFUNCTION("IMPORTRANGE(""https://docs.google.com/spreadsheets/d/1C3CXT74ZlgGe6_JY_1olB1XN4rF0dxEuIIF-xsYjHgg/edit?usp=sharing"",""งบกองทุน!as92"")"),40)</f>
        <v>40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15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83000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83000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IFERROR(__xludf.DUMMYFUNCTION("IMPORTRANGE(""https://docs.google.com/spreadsheets/d/1C3CXT74ZlgGe6_JY_1olB1XN4rF0dxEuIIF-xsYjHgg/edit?usp=sharing"",""งบกองทุน!au92"")"),0)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IFERROR(__xludf.DUMMYFUNCTION("IMPORTRANGE(""https://docs.google.com/spreadsheets/d/1C3CXT74ZlgGe6_JY_1olB1XN4rF0dxEuIIF-xsYjHgg/edit?usp=sharing"",""งบกองทุน!av92"")"),83000)</f>
        <v>83000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0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15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IFERROR(__xludf.DUMMYFUNCTION("IMPORTRANGE(""https://docs.google.com/spreadsheets/d/1C3CXT74ZlgGe6_JY_1olB1XN4rF0dxEuIIF-xsYjHgg/edit?usp=sharing"",""งบกองทุน!ay92"")"),15)</f>
        <v>15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IFERROR(__xludf.DUMMYFUNCTION("IMPORTRANGE(""https://docs.google.com/spreadsheets/d/1C3CXT74ZlgGe6_JY_1olB1XN4rF0dxEuIIF-xsYjHgg/edit?usp=sharing"",""งบกองทุน!az92"")"),0)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IFERROR(__xludf.DUMMYFUNCTION("IMPORTRANGE(""https://docs.google.com/spreadsheets/d/1C3CXT74ZlgGe6_JY_1olB1XN4rF0dxEuIIF-xsYjHgg/edit?usp=sharing"",""งบกองทุน!Ba92"")"),0)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25890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189614</v>
      </c>
      <c r="M350" s="246">
        <f t="shared" si="81"/>
        <v>1580</v>
      </c>
      <c r="N350" s="246">
        <f t="shared" ref="N350:N354" ca="1" si="82">+IF(L350&gt;0,M350*100/L350,0)</f>
        <v>0.83327180482453822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189614</v>
      </c>
      <c r="M352" s="58">
        <f t="shared" si="83"/>
        <v>1580</v>
      </c>
      <c r="N352" s="58">
        <f t="shared" ca="1" si="82"/>
        <v>0.83327180482453822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IFERROR(__xludf.DUMMYFUNCTION("IMPORTRANGE(""https://docs.google.com/spreadsheets/d/1C3CXT74ZlgGe6_JY_1olB1XN4rF0dxEuIIF-xsYjHgg/edit?usp=sharing"",""งบกองทุน!Bc92"")"),0)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IFERROR(__xludf.DUMMYFUNCTION("IMPORTRANGE(""https://docs.google.com/spreadsheets/d/1C3CXT74ZlgGe6_JY_1olB1XN4rF0dxEuIIF-xsYjHgg/edit?usp=sharing"",""งบกองทุน!Bd92"")"),189614)</f>
        <v>189614</v>
      </c>
      <c r="M354" s="58">
        <f>SUM(M355:M358)</f>
        <v>1580</v>
      </c>
      <c r="N354" s="58">
        <f t="shared" ca="1" si="82"/>
        <v>0.83327180482453822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1580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IFERROR(__xludf.DUMMYFUNCTION("IMPORTRANGE(""https://docs.google.com/spreadsheets/d/1C3CXT74ZlgGe6_JY_1olB1XN4rF0dxEuIIF-xsYjHgg/edit?usp=sharing"",""งบกองทุน!BE92"")"),25890)</f>
        <v>25890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25890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IFERROR(__xludf.DUMMYFUNCTION("IMPORTRANGE(""https://docs.google.com/spreadsheets/d/1C3CXT74ZlgGe6_JY_1olB1XN4rF0dxEuIIF-xsYjHgg/edit?usp=sharing"",""งบกองทุน!BF92"")"),3251)</f>
        <v>3251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25890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3251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25890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3251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IFERROR(__xludf.DUMMYFUNCTION("IMPORTRANGE(""https://docs.google.com/spreadsheets/d/1C3CXT74ZlgGe6_JY_1olB1XN4rF0dxEuIIF-xsYjHgg/edit?usp=sharing"",""งบกองทุน!cd92"")"),292)</f>
        <v>292</v>
      </c>
      <c r="J390" s="148">
        <f>J391</f>
        <v>122</v>
      </c>
      <c r="K390" s="149">
        <f t="shared" ca="1" si="84"/>
        <v>41.780821917808218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IFERROR(__xludf.DUMMYFUNCTION("IMPORTRANGE(""https://docs.google.com/spreadsheets/d/1C3CXT74ZlgGe6_JY_1olB1XN4rF0dxEuIIF-xsYjHgg/edit?usp=sharing"",""งบกองทุน!cd92"")"),292)</f>
        <v>292</v>
      </c>
      <c r="J391" s="283">
        <f t="shared" ref="J391:J392" si="89">J393+J401+J407</f>
        <v>122</v>
      </c>
      <c r="K391" s="379">
        <f t="shared" ca="1" si="84"/>
        <v>41.780821917808218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IFERROR(__xludf.DUMMYFUNCTION("IMPORTRANGE(""https://docs.google.com/spreadsheets/d/1C3CXT74ZlgGe6_JY_1olB1XN4rF0dxEuIIF-xsYjHgg/edit?usp=sharing"",""งบกองทุน!cc92"")"),26)</f>
        <v>26</v>
      </c>
      <c r="J392" s="283">
        <f t="shared" si="89"/>
        <v>11</v>
      </c>
      <c r="K392" s="379">
        <f t="shared" ca="1" si="84"/>
        <v>42.307692307692307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104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8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104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8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18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3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18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3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IFERROR(__xludf.DUMMYFUNCTION("IMPORTRANGE(""https://docs.google.com/spreadsheets/d/1C3CXT74ZlgGe6_JY_1olB1XN4rF0dxEuIIF-xsYjHgg/edit?usp=sharing"",""งบกองทุน!cz92"")"),0)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10" t="s">
        <v>221</v>
      </c>
      <c r="I410" s="161">
        <f ca="1">IFERROR(__xludf.DUMMYFUNCTION("IMPORTRANGE(""https://docs.google.com/spreadsheets/d/1C3CXT74ZlgGe6_JY_1olB1XN4rF0dxEuIIF-xsYjHgg/edit?usp=sharing"",""งบกองทุน!cz92"")"),0)</f>
        <v>0</v>
      </c>
      <c r="J410" s="161">
        <f t="shared" ref="J410:J411" ca="1" si="92">SUM(J412,J414)</f>
        <v>0</v>
      </c>
      <c r="K410" s="162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310" t="s">
        <v>15</v>
      </c>
      <c r="I411" s="161">
        <f ca="1">IFERROR(__xludf.DUMMYFUNCTION("IMPORTRANGE(""https://docs.google.com/spreadsheets/d/1C3CXT74ZlgGe6_JY_1olB1XN4rF0dxEuIIF-xsYjHgg/edit?usp=sharing"",""งบกองทุน!cy92"")"),0)</f>
        <v>0</v>
      </c>
      <c r="J411" s="161">
        <f t="shared" ca="1" si="92"/>
        <v>0</v>
      </c>
      <c r="K411" s="162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285" t="s">
        <v>103</v>
      </c>
      <c r="I412" s="53">
        <v>0</v>
      </c>
      <c r="J412" s="393">
        <f ca="1">IFERROR(__xludf.DUMMYFUNCTION("IMPORTRANGE(""https://docs.google.com/spreadsheets/d/1C3CXT74ZlgGe6_JY_1olB1XN4rF0dxEuIIF-xsYjHgg/edit?usp=sharing"",""งบกองทุน!db92"")"),0)</f>
        <v>0</v>
      </c>
      <c r="K412" s="250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285" t="s">
        <v>15</v>
      </c>
      <c r="I413" s="53">
        <v>0</v>
      </c>
      <c r="J413" s="393">
        <f ca="1">IFERROR(__xludf.DUMMYFUNCTION("IMPORTRANGE(""https://docs.google.com/spreadsheets/d/1C3CXT74ZlgGe6_JY_1olB1XN4rF0dxEuIIF-xsYjHgg/edit?usp=sharing"",""งบกองทุน!da92"")"),0)</f>
        <v>0</v>
      </c>
      <c r="K413" s="250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285" t="s">
        <v>103</v>
      </c>
      <c r="I414" s="53">
        <v>0</v>
      </c>
      <c r="J414" s="393">
        <f ca="1">IFERROR(__xludf.DUMMYFUNCTION("IMPORTRANGE(""https://docs.google.com/spreadsheets/d/1C3CXT74ZlgGe6_JY_1olB1XN4rF0dxEuIIF-xsYjHgg/edit?usp=sharing"",""งบกองทุน!dd92"")"),0)</f>
        <v>0</v>
      </c>
      <c r="K414" s="250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285" t="s">
        <v>15</v>
      </c>
      <c r="I415" s="53">
        <v>0</v>
      </c>
      <c r="J415" s="393">
        <f ca="1">IFERROR(__xludf.DUMMYFUNCTION("IMPORTRANGE(""https://docs.google.com/spreadsheets/d/1C3CXT74ZlgGe6_JY_1olB1XN4rF0dxEuIIF-xsYjHgg/edit?usp=sharing"",""งบกองทุน!dc92"")"),0)</f>
        <v>0</v>
      </c>
      <c r="K415" s="250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285" t="s">
        <v>103</v>
      </c>
      <c r="I416" s="53">
        <v>0</v>
      </c>
      <c r="J416" s="393">
        <f ca="1">IFERROR(__xludf.DUMMYFUNCTION("IMPORTRANGE(""https://docs.google.com/spreadsheets/d/1C3CXT74ZlgGe6_JY_1olB1XN4rF0dxEuIIF-xsYjHgg/edit?usp=sharing"",""งบกองทุน!df92"")"),0)</f>
        <v>0</v>
      </c>
      <c r="K416" s="250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285" t="s">
        <v>15</v>
      </c>
      <c r="I417" s="53">
        <v>0</v>
      </c>
      <c r="J417" s="393">
        <f ca="1">IFERROR(__xludf.DUMMYFUNCTION("IMPORTRANGE(""https://docs.google.com/spreadsheets/d/1C3CXT74ZlgGe6_JY_1olB1XN4rF0dxEuIIF-xsYjHgg/edit?usp=sharing"",""งบกองทุน!de92"")"),0)</f>
        <v>0</v>
      </c>
      <c r="K417" s="250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310" t="s">
        <v>103</v>
      </c>
      <c r="I418" s="394">
        <f t="shared" ref="I418:I419" ca="1" si="93">J416</f>
        <v>0</v>
      </c>
      <c r="J418" s="394">
        <f t="shared" ref="J418:J419" si="94">SUM(J420,J422,J424)</f>
        <v>0</v>
      </c>
      <c r="K418" s="395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310" t="s">
        <v>15</v>
      </c>
      <c r="I419" s="394">
        <f t="shared" ca="1" si="93"/>
        <v>0</v>
      </c>
      <c r="J419" s="394">
        <f t="shared" si="94"/>
        <v>0</v>
      </c>
      <c r="K419" s="395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285" t="s">
        <v>103</v>
      </c>
      <c r="I420" s="53">
        <v>0</v>
      </c>
      <c r="J420" s="74">
        <v>0</v>
      </c>
      <c r="K420" s="54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285" t="s">
        <v>15</v>
      </c>
      <c r="I421" s="53">
        <v>0</v>
      </c>
      <c r="J421" s="74">
        <v>0</v>
      </c>
      <c r="K421" s="54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285" t="s">
        <v>103</v>
      </c>
      <c r="I422" s="53">
        <v>0</v>
      </c>
      <c r="J422" s="74">
        <v>0</v>
      </c>
      <c r="K422" s="54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285" t="s">
        <v>15</v>
      </c>
      <c r="I423" s="53">
        <v>0</v>
      </c>
      <c r="J423" s="74">
        <v>0</v>
      </c>
      <c r="K423" s="54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285" t="s">
        <v>103</v>
      </c>
      <c r="I424" s="53">
        <v>0</v>
      </c>
      <c r="J424" s="74">
        <v>0</v>
      </c>
      <c r="K424" s="54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316" t="s">
        <v>15</v>
      </c>
      <c r="I425" s="396">
        <v>0</v>
      </c>
      <c r="J425" s="318">
        <v>0</v>
      </c>
      <c r="K425" s="319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5">I440</f>
        <v>20</v>
      </c>
      <c r="J426" s="275">
        <f t="shared" si="95"/>
        <v>0</v>
      </c>
      <c r="K426" s="276">
        <f ca="1">IF(I426&gt;0,J426*100/I426,0)</f>
        <v>0</v>
      </c>
      <c r="L426" s="277">
        <f t="shared" ref="L426:M426" ca="1" si="96">SUM(L427:L428)</f>
        <v>32640</v>
      </c>
      <c r="M426" s="277">
        <f t="shared" si="96"/>
        <v>0</v>
      </c>
      <c r="N426" s="277">
        <f t="shared" ref="N426:N430" ca="1" si="97">+IF(L426&gt;0,M426*100/L426,0)</f>
        <v>0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32640</v>
      </c>
      <c r="M428" s="58">
        <f t="shared" si="98"/>
        <v>0</v>
      </c>
      <c r="N428" s="58">
        <f t="shared" ca="1" si="97"/>
        <v>0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IFERROR(__xludf.DUMMYFUNCTION("IMPORTRANGE(""https://docs.google.com/spreadsheets/d/1C3CXT74ZlgGe6_JY_1olB1XN4rF0dxEuIIF-xsYjHgg/edit?usp=sharing"",""งบกองทุน!dn92"")"),0)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IFERROR(__xludf.DUMMYFUNCTION("IMPORTRANGE(""https://docs.google.com/spreadsheets/d/1C3CXT74ZlgGe6_JY_1olB1XN4rF0dxEuIIF-xsYjHgg/edit?usp=sharing"",""งบกองทุน!do92"")"),32640)</f>
        <v>32640</v>
      </c>
      <c r="M430" s="58">
        <f>SUM(M431:M434)</f>
        <v>0</v>
      </c>
      <c r="N430" s="58">
        <f t="shared" ca="1" si="97"/>
        <v>0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0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IFERROR(__xludf.DUMMYFUNCTION("IMPORTRANGE(""https://docs.google.com/spreadsheets/d/1C3CXT74ZlgGe6_JY_1olB1XN4rF0dxEuIIF-xsYjHgg/edit?usp=sharing"",""งบกองทุน!dq92"")"),20)</f>
        <v>20</v>
      </c>
      <c r="J440" s="74">
        <v>0</v>
      </c>
      <c r="K440" s="54">
        <f t="shared" ref="K440:K441" ca="1" si="99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IFERROR(__xludf.DUMMYFUNCTION("IMPORTRANGE(""https://docs.google.com/spreadsheets/d/1C3CXT74ZlgGe6_JY_1olB1XN4rF0dxEuIIF-xsYjHgg/edit?usp=sharing"",""งบกองทุน!dr92"")"),20)</f>
        <v>20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IFERROR(__xludf.DUMMYFUNCTION("IMPORTRANGE(""https://docs.google.com/spreadsheets/d/1C3CXT74ZlgGe6_JY_1olB1XN4rF0dxEuIIF-xsYjHgg/edit?usp=sharing"",""งบกองทุน!dt92"")"),0)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IFERROR(__xludf.DUMMYFUNCTION("IMPORTRANGE(""https://docs.google.com/spreadsheets/d/1C3CXT74ZlgGe6_JY_1olB1XN4rF0dxEuIIF-xsYjHgg/edit?usp=sharing"",""งบกองทุน!du92"")"),0)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IFERROR(__xludf.DUMMYFUNCTION("IMPORTRANGE(""https://docs.google.com/spreadsheets/d/1C3CXT74ZlgGe6_JY_1olB1XN4rF0dxEuIIF-xsYjHgg/edit?usp=sharing"",""งบกองทุน!dw92"")"),0)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IFERROR(__xludf.DUMMYFUNCTION("IMPORTRANGE(""https://docs.google.com/spreadsheets/d/1C3CXT74ZlgGe6_JY_1olB1XN4rF0dxEuIIF-xsYjHgg/edit?usp=sharing"",""งบกองทุน!dx92"")"),0)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IFERROR(__xludf.DUMMYFUNCTION("IMPORTRANGE(""https://docs.google.com/spreadsheets/d/1C3CXT74ZlgGe6_JY_1olB1XN4rF0dxEuIIF-xsYjHgg/edit?usp=sharing"",""งบกองทุน!dy92"")"),0)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IFERROR(__xludf.DUMMYFUNCTION("IMPORTRANGE(""https://docs.google.com/spreadsheets/d/1C3CXT74ZlgGe6_JY_1olB1XN4rF0dxEuIIF-xsYjHgg/edit?usp=sharing"",""งบกองทุน!dz92"")"),0)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1100</v>
      </c>
      <c r="J457" s="244">
        <f>+J466</f>
        <v>0</v>
      </c>
      <c r="K457" s="245">
        <f t="shared" ca="1" si="104"/>
        <v>0</v>
      </c>
      <c r="L457" s="246">
        <f t="shared" ref="L457:M457" ca="1" si="105">SUM(L458:L459)</f>
        <v>123600</v>
      </c>
      <c r="M457" s="246">
        <f t="shared" si="105"/>
        <v>9935</v>
      </c>
      <c r="N457" s="246">
        <f t="shared" ref="N457:N461" ca="1" si="106">+IF(L457&gt;0,M457*100/L457,0)</f>
        <v>8.0380258899676367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123600</v>
      </c>
      <c r="M459" s="58">
        <f t="shared" si="107"/>
        <v>9935</v>
      </c>
      <c r="N459" s="58">
        <f t="shared" ca="1" si="106"/>
        <v>8.0380258899676367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IFERROR(__xludf.DUMMYFUNCTION("IMPORTRANGE(""https://docs.google.com/spreadsheets/d/1C3CXT74ZlgGe6_JY_1olB1XN4rF0dxEuIIF-xsYjHgg/edit?usp=sharing"",""งบกองทุน!Eb92"")"),0)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IFERROR(__xludf.DUMMYFUNCTION("IMPORTRANGE(""https://docs.google.com/spreadsheets/d/1C3CXT74ZlgGe6_JY_1olB1XN4rF0dxEuIIF-xsYjHgg/edit?usp=sharing"",""งบกองทุน!Ec92"")"),123600)</f>
        <v>123600</v>
      </c>
      <c r="M461" s="58">
        <f>SUM(M462:M465)</f>
        <v>9935</v>
      </c>
      <c r="N461" s="58">
        <f t="shared" ca="1" si="106"/>
        <v>8.0380258899676367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9935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IFERROR(__xludf.DUMMYFUNCTION("IMPORTRANGE(""https://docs.google.com/spreadsheets/d/1C3CXT74ZlgGe6_JY_1olB1XN4rF0dxEuIIF-xsYjHgg/edit?usp=sharing"",""งบกองทุน!Ed92"")"),1100)</f>
        <v>1100</v>
      </c>
      <c r="J466" s="283">
        <f>+J469+J470+J471+J472</f>
        <v>0</v>
      </c>
      <c r="K466" s="85">
        <f ca="1">IF(I466&gt;0,J466*100/I466,0)</f>
        <v>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0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220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376620</v>
      </c>
      <c r="M473" s="246">
        <f>SUM(M474:M475)</f>
        <v>9935</v>
      </c>
      <c r="N473" s="246">
        <f t="shared" ref="N473:N477" ca="1" si="109">+IF(L473&gt;0,M473*100/L473,0)</f>
        <v>2.6379374435770804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53" t="s">
        <v>21</v>
      </c>
      <c r="J474" s="53"/>
      <c r="K474" s="54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53"/>
      <c r="J475" s="53"/>
      <c r="K475" s="54"/>
      <c r="L475" s="55">
        <f t="shared" ref="L475:M475" ca="1" si="110">SUM(L476:L477)</f>
        <v>376620</v>
      </c>
      <c r="M475" s="58">
        <f t="shared" si="110"/>
        <v>9935</v>
      </c>
      <c r="N475" s="58">
        <f t="shared" ca="1" si="109"/>
        <v>2.6379374435770804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53"/>
      <c r="J476" s="53"/>
      <c r="K476" s="54"/>
      <c r="L476" s="58">
        <f ca="1">IFERROR(__xludf.DUMMYFUNCTION("IMPORTRANGE(""https://docs.google.com/spreadsheets/d/1C3CXT74ZlgGe6_JY_1olB1XN4rF0dxEuIIF-xsYjHgg/edit?usp=sharing"",""งบกองทุน!Ek92"")"),0)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53"/>
      <c r="J477" s="53"/>
      <c r="K477" s="54"/>
      <c r="L477" s="58">
        <f ca="1">IFERROR(__xludf.DUMMYFUNCTION("IMPORTRANGE(""https://docs.google.com/spreadsheets/d/1C3CXT74ZlgGe6_JY_1olB1XN4rF0dxEuIIF-xsYjHgg/edit?usp=sharing"",""งบกองทุน!El92"")"),376620)</f>
        <v>376620</v>
      </c>
      <c r="M477" s="58">
        <f>SUM(M478:M481)</f>
        <v>9935</v>
      </c>
      <c r="N477" s="58">
        <f t="shared" ca="1" si="109"/>
        <v>2.6379374435770804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9">
        <v>9935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9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IFERROR(__xludf.DUMMYFUNCTION("IMPORTRANGE(""https://docs.google.com/spreadsheets/d/1C3CXT74ZlgGe6_JY_1olB1XN4rF0dxEuIIF-xsYjHgg/edit?usp=sharing"",""งบกองทุน!Em92"")"),220)</f>
        <v>220</v>
      </c>
      <c r="J482" s="73">
        <f ca="1">IFERROR(__xludf.DUMMYFUNCTION("IMPORTRANGE(""https://docs.google.com/spreadsheets/d/1AGHcLOeeYFL3K4b9R1dSzyJy00PE_ra89DNTVfnxSWM/edit?usp=sharing"",""รวมที่ชุมชน!G81"")"),0)</f>
        <v>0</v>
      </c>
      <c r="K482" s="54">
        <f t="shared" ref="K482:K489" ca="1" si="111">IF(I482&gt;0,J482*100/I482,0)</f>
        <v>0</v>
      </c>
      <c r="L482" s="66"/>
      <c r="M482" s="66"/>
      <c r="N482" s="66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f ca="1">IFERROR(__xludf.DUMMYFUNCTION("IMPORTRANGE(""https://docs.google.com/spreadsheets/d/1C3CXT74ZlgGe6_JY_1olB1XN4rF0dxEuIIF-xsYjHgg/edit?usp=sharing"",""งบกองทุน!En92"")"),0)</f>
        <v>0</v>
      </c>
      <c r="J483" s="73">
        <f ca="1">IFERROR(__xludf.DUMMYFUNCTION("IMPORTRANGE(""https://docs.google.com/spreadsheets/d/1AGHcLOeeYFL3K4b9R1dSzyJy00PE_ra89DNTVfnxSWM/edit?usp=sharing"",""รวมที่ชุมชน!H81"")"),0)</f>
        <v>0</v>
      </c>
      <c r="K483" s="54">
        <f t="shared" ca="1" si="111"/>
        <v>0</v>
      </c>
      <c r="L483" s="66"/>
      <c r="M483" s="66"/>
      <c r="N483" s="66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IFERROR(__xludf.DUMMYFUNCTION("IMPORTRANGE(""https://docs.google.com/spreadsheets/d/1C3CXT74ZlgGe6_JY_1olB1XN4rF0dxEuIIF-xsYjHgg/edit?usp=sharing"",""งบกองทุน!Eo92"")"),220)</f>
        <v>220</v>
      </c>
      <c r="J484" s="73">
        <f ca="1">IFERROR(__xludf.DUMMYFUNCTION("IMPORTRANGE(""https://docs.google.com/spreadsheets/d/1AGHcLOeeYFL3K4b9R1dSzyJy00PE_ra89DNTVfnxSWM/edit?usp=sharing"",""รวมที่ชุมชน!J81"")"),0)</f>
        <v>0</v>
      </c>
      <c r="K484" s="54">
        <f t="shared" ca="1" si="111"/>
        <v>0</v>
      </c>
      <c r="L484" s="66"/>
      <c r="M484" s="66"/>
      <c r="N484" s="66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f ca="1">IFERROR(__xludf.DUMMYFUNCTION("IMPORTRANGE(""https://docs.google.com/spreadsheets/d/1C3CXT74ZlgGe6_JY_1olB1XN4rF0dxEuIIF-xsYjHgg/edit?usp=sharing"",""งบกองทุน!Ep92"")"),0)</f>
        <v>0</v>
      </c>
      <c r="J485" s="73">
        <f ca="1">IFERROR(__xludf.DUMMYFUNCTION("IMPORTRANGE(""https://docs.google.com/spreadsheets/d/1AGHcLOeeYFL3K4b9R1dSzyJy00PE_ra89DNTVfnxSWM/edit?usp=sharing"",""รวมที่ชุมชน!L81"")"),0)</f>
        <v>0</v>
      </c>
      <c r="K485" s="54">
        <f t="shared" ca="1" si="111"/>
        <v>0</v>
      </c>
      <c r="L485" s="66"/>
      <c r="M485" s="66"/>
      <c r="N485" s="66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IFERROR(__xludf.DUMMYFUNCTION("IMPORTRANGE(""https://docs.google.com/spreadsheets/d/1C3CXT74ZlgGe6_JY_1olB1XN4rF0dxEuIIF-xsYjHgg/edit?usp=sharing"",""งบกองทุน!Eq92"")"),220)</f>
        <v>220</v>
      </c>
      <c r="J486" s="73">
        <f ca="1">IFERROR(__xludf.DUMMYFUNCTION("IMPORTRANGE(""https://docs.google.com/spreadsheets/d/1AGHcLOeeYFL3K4b9R1dSzyJy00PE_ra89DNTVfnxSWM/edit?usp=sharing"",""รวมที่ชุมชน!S81"")"),0)</f>
        <v>0</v>
      </c>
      <c r="K486" s="54">
        <f t="shared" ca="1" si="111"/>
        <v>0</v>
      </c>
      <c r="L486" s="66"/>
      <c r="M486" s="66"/>
      <c r="N486" s="66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f ca="1">IFERROR(__xludf.DUMMYFUNCTION("IMPORTRANGE(""https://docs.google.com/spreadsheets/d/1C3CXT74ZlgGe6_JY_1olB1XN4rF0dxEuIIF-xsYjHgg/edit?usp=sharing"",""งบกองทุน!Er92"")"),0)</f>
        <v>0</v>
      </c>
      <c r="J487" s="73">
        <f ca="1">IFERROR(__xludf.DUMMYFUNCTION("IMPORTRANGE(""https://docs.google.com/spreadsheets/d/1AGHcLOeeYFL3K4b9R1dSzyJy00PE_ra89DNTVfnxSWM/edit?usp=sharing"",""รวมที่ชุมชน!U81"")"),0)</f>
        <v>0</v>
      </c>
      <c r="K487" s="54">
        <f t="shared" ca="1" si="111"/>
        <v>0</v>
      </c>
      <c r="L487" s="66"/>
      <c r="M487" s="66"/>
      <c r="N487" s="66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IFERROR(__xludf.DUMMYFUNCTION("IMPORTRANGE(""https://docs.google.com/spreadsheets/d/1C3CXT74ZlgGe6_JY_1olB1XN4rF0dxEuIIF-xsYjHgg/edit?usp=sharing"",""งบกองทุน!Es92"")"),220)</f>
        <v>220</v>
      </c>
      <c r="J488" s="73">
        <f ca="1">IFERROR(__xludf.DUMMYFUNCTION("IMPORTRANGE(""https://docs.google.com/spreadsheets/d/1AGHcLOeeYFL3K4b9R1dSzyJy00PE_ra89DNTVfnxSWM/edit?usp=sharing"",""รวมที่ชุมชน!V81"")"),0)</f>
        <v>0</v>
      </c>
      <c r="K488" s="54">
        <f t="shared" ca="1" si="111"/>
        <v>0</v>
      </c>
      <c r="L488" s="66"/>
      <c r="M488" s="66"/>
      <c r="N488" s="66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f ca="1">IFERROR(__xludf.DUMMYFUNCTION("IMPORTRANGE(""https://docs.google.com/spreadsheets/d/1C3CXT74ZlgGe6_JY_1olB1XN4rF0dxEuIIF-xsYjHgg/edit?usp=sharing"",""งบกองทุน!Et92"")"),0)</f>
        <v>0</v>
      </c>
      <c r="J489" s="120">
        <f ca="1">IFERROR(__xludf.DUMMYFUNCTION("IMPORTRANGE(""https://docs.google.com/spreadsheets/d/1AGHcLOeeYFL3K4b9R1dSzyJy00PE_ra89DNTVfnxSWM/edit?usp=sharing"",""รวมที่ชุมชน!X81"")"),0)</f>
        <v>0</v>
      </c>
      <c r="K489" s="122">
        <f t="shared" ca="1" si="111"/>
        <v>0</v>
      </c>
      <c r="L489" s="320"/>
      <c r="M489" s="320"/>
      <c r="N489" s="320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4550</v>
      </c>
      <c r="M490" s="277">
        <f>SUM(M491:M492)</f>
        <v>0</v>
      </c>
      <c r="N490" s="277">
        <f t="shared" ref="N490:N494" ca="1" si="113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4550</v>
      </c>
      <c r="M492" s="58">
        <f t="shared" si="114"/>
        <v>0</v>
      </c>
      <c r="N492" s="58">
        <f t="shared" ca="1" si="113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IFERROR(__xludf.DUMMYFUNCTION("IMPORTRANGE(""https://docs.google.com/spreadsheets/d/1C3CXT74ZlgGe6_JY_1olB1XN4rF0dxEuIIF-xsYjHgg/edit?usp=sharing"",""งบกองทุน!Ev92"")"),0)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IFERROR(__xludf.DUMMYFUNCTION("IMPORTRANGE(""https://docs.google.com/spreadsheets/d/1C3CXT74ZlgGe6_JY_1olB1XN4rF0dxEuIIF-xsYjHgg/edit?usp=sharing"",""งบกองทุน!Ew92"")"),4550)</f>
        <v>4550</v>
      </c>
      <c r="M494" s="58">
        <f>SUM(M495:M498)</f>
        <v>0</v>
      </c>
      <c r="N494" s="58">
        <f t="shared" ca="1" si="113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1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0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IFERROR(__xludf.DUMMYFUNCTION("IMPORTRANGE(""https://docs.google.com/spreadsheets/d/1C3CXT74ZlgGe6_JY_1olB1XN4rF0dxEuIIF-xsYjHgg/edit?usp=sharing"",""งบกองทุน!EZ92"")"),50)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IFERROR(__xludf.DUMMYFUNCTION("IMPORTRANGE(""https://docs.google.com/spreadsheets/d/1C3CXT74ZlgGe6_JY_1olB1XN4rF0dxEuIIF-xsYjHgg/edit?usp=sharing"",""งบกองทุน!ff92"")"),48)</f>
        <v>48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IFERROR(__xludf.DUMMYFUNCTION("IMPORTRANGE(""https://docs.google.com/spreadsheets/d/1muirlRDkqiswvy_NRZ3Yh955hx-PF6_HhssUYiSJj8o/edit?usp=sharing"",""กองทุน!D92"")"),3713783.36999999)</f>
        <v>3713783.3699999899</v>
      </c>
      <c r="J521" s="214">
        <f ca="1">IFERROR(__xludf.DUMMYFUNCTION("IMPORTRANGE(""https://docs.google.com/spreadsheets/d/1muirlRDkqiswvy_NRZ3Yh955hx-PF6_HhssUYiSJj8o/edit?usp=sharing"",""กองทุน!F92"")"),31284.61)</f>
        <v>31284.61</v>
      </c>
      <c r="K521" s="215">
        <f t="shared" ref="K521:K528" ca="1" si="118">IF(I521&gt;0,J521*100/I521,0)</f>
        <v>0.84239189212590193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IFERROR(__xludf.DUMMYFUNCTION("IMPORTRANGE(""https://docs.google.com/spreadsheets/d/1muirlRDkqiswvy_NRZ3Yh955hx-PF6_HhssUYiSJj8o/edit?usp=sharing"",""กองทุน!C92"")"),280)</f>
        <v>280</v>
      </c>
      <c r="J522" s="214">
        <f ca="1">IFERROR(__xludf.DUMMYFUNCTION("IMPORTRANGE(""https://docs.google.com/spreadsheets/d/1muirlRDkqiswvy_NRZ3Yh955hx-PF6_HhssUYiSJj8o/edit?usp=sharing"",""กองทุน!E92"")"),8)</f>
        <v>8</v>
      </c>
      <c r="K522" s="215">
        <f t="shared" ca="1" si="118"/>
        <v>2.8571428571428572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IFERROR(__xludf.DUMMYFUNCTION("IMPORTRANGE(""https://docs.google.com/spreadsheets/d/1muirlRDkqiswvy_NRZ3Yh955hx-PF6_HhssUYiSJj8o/edit?usp=sharing"",""กองทุน!I92"")"),927206.849999999)</f>
        <v>927206.84999999905</v>
      </c>
      <c r="J523" s="214">
        <f ca="1">IFERROR(__xludf.DUMMYFUNCTION("IMPORTRANGE(""https://docs.google.com/spreadsheets/d/1muirlRDkqiswvy_NRZ3Yh955hx-PF6_HhssUYiSJj8o/edit?usp=sharing"",""กองทุน!K92"")"),14993.83)</f>
        <v>14993.83</v>
      </c>
      <c r="K523" s="215">
        <f t="shared" ca="1" si="118"/>
        <v>1.6170965518643456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IFERROR(__xludf.DUMMYFUNCTION("IMPORTRANGE(""https://docs.google.com/spreadsheets/d/1muirlRDkqiswvy_NRZ3Yh955hx-PF6_HhssUYiSJj8o/edit?usp=sharing"",""กองทุน!H92"")"),42)</f>
        <v>42</v>
      </c>
      <c r="J524" s="214">
        <f ca="1">IFERROR(__xludf.DUMMYFUNCTION("IMPORTRANGE(""https://docs.google.com/spreadsheets/d/1muirlRDkqiswvy_NRZ3Yh955hx-PF6_HhssUYiSJj8o/edit?usp=sharing"",""กองทุน!J92"")"),3)</f>
        <v>3</v>
      </c>
      <c r="K524" s="215">
        <f t="shared" ca="1" si="118"/>
        <v>7.1428571428571432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IFERROR(__xludf.DUMMYFUNCTION("IMPORTRANGE(""https://docs.google.com/spreadsheets/d/1muirlRDkqiswvy_NRZ3Yh955hx-PF6_HhssUYiSJj8o/edit?usp=sharing"",""กองทุน!N92"")"),0)</f>
        <v>0</v>
      </c>
      <c r="J525" s="214">
        <f ca="1">IFERROR(__xludf.DUMMYFUNCTION("IMPORTRANGE(""https://docs.google.com/spreadsheets/d/1muirlRDkqiswvy_NRZ3Yh955hx-PF6_HhssUYiSJj8o/edit?usp=sharing"",""กองทุน!P92"")"),0)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IFERROR(__xludf.DUMMYFUNCTION("IMPORTRANGE(""https://docs.google.com/spreadsheets/d/1muirlRDkqiswvy_NRZ3Yh955hx-PF6_HhssUYiSJj8o/edit?usp=sharing"",""กองทุน!M92"")"),0)</f>
        <v>0</v>
      </c>
      <c r="J526" s="214">
        <f ca="1">IFERROR(__xludf.DUMMYFUNCTION("IMPORTRANGE(""https://docs.google.com/spreadsheets/d/1muirlRDkqiswvy_NRZ3Yh955hx-PF6_HhssUYiSJj8o/edit?usp=sharing"",""กองทุน!O92"")"),0)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IFERROR(__xludf.DUMMYFUNCTION("IMPORTRANGE(""https://docs.google.com/spreadsheets/d/1muirlRDkqiswvy_NRZ3Yh955hx-PF6_HhssUYiSJj8o/edit?usp=sharing"",""กองทุน!S92"")"),1500000)</f>
        <v>1500000</v>
      </c>
      <c r="J527" s="214">
        <f ca="1">IFERROR(__xludf.DUMMYFUNCTION("IMPORTRANGE(""https://docs.google.com/spreadsheets/d/1muirlRDkqiswvy_NRZ3Yh955hx-PF6_HhssUYiSJj8o/edit?usp=sharing"",""กองทุน!U92"")"),0)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IFERROR(__xludf.DUMMYFUNCTION("IMPORTRANGE(""https://docs.google.com/spreadsheets/d/1muirlRDkqiswvy_NRZ3Yh955hx-PF6_HhssUYiSJj8o/edit?usp=sharing"",""กองทุน!R92"")"),30)</f>
        <v>30</v>
      </c>
      <c r="J528" s="342">
        <f ca="1">IFERROR(__xludf.DUMMYFUNCTION("IMPORTRANGE(""https://docs.google.com/spreadsheets/d/1muirlRDkqiswvy_NRZ3Yh955hx-PF6_HhssUYiSJj8o/edit?usp=sharing"",""กองทุน!T92"")"),0)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100" workbookViewId="0">
      <selection activeCell="J16" sqref="J1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232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1076010</v>
      </c>
      <c r="M6" s="18">
        <f t="shared" si="0"/>
        <v>0</v>
      </c>
      <c r="N6" s="19">
        <f ca="1">IF(L6&gt;0,M6*100/L6,0)</f>
        <v>0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IFERROR(__xludf.DUMMYFUNCTION("IMPORTRANGE(""https://docs.google.com/spreadsheets/d/1C3CXT74ZlgGe6_JY_1olB1XN4rF0dxEuIIF-xsYjHgg/edit?usp=sharing"",""พรบ!C93"")"),0)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IFERROR(__xludf.DUMMYFUNCTION("IMPORTRANGE(""https://docs.google.com/spreadsheets/d/1C3CXT74ZlgGe6_JY_1olB1XN4rF0dxEuIIF-xsYjHgg/edit?usp=sharing"",""พรบ!D93"")"),0)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IFERROR(__xludf.DUMMYFUNCTION("IMPORTRANGE(""https://docs.google.com/spreadsheets/d/1C3CXT74ZlgGe6_JY_1olB1XN4rF0dxEuIIF-xsYjHgg/edit?usp=sharing"",""พรบ!E93"")"),0)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58"/>
      <c r="N15" s="66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54"/>
      <c r="L18" s="66"/>
      <c r="M18" s="66"/>
      <c r="N18" s="66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54"/>
      <c r="L19" s="66"/>
      <c r="M19" s="66"/>
      <c r="N19" s="66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IFERROR(__xludf.DUMMYFUNCTION("IMPORTRANGE(""https://docs.google.com/spreadsheets/d/1C3CXT74ZlgGe6_JY_1olB1XN4rF0dxEuIIF-xsYjHgg/edit?usp=sharing"",""พรบ!H93"")"),0)</f>
        <v>0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IFERROR(__xludf.DUMMYFUNCTION("IMPORTRANGE(""https://docs.google.com/spreadsheets/d/1C3CXT74ZlgGe6_JY_1olB1XN4rF0dxEuIIF-xsYjHgg/edit?usp=sharing"",""พรบ!I93"")"),0)</f>
        <v>0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IFERROR(__xludf.DUMMYFUNCTION("IMPORTRANGE(""https://docs.google.com/spreadsheets/d/1C3CXT74ZlgGe6_JY_1olB1XN4rF0dxEuIIF-xsYjHgg/edit?usp=sharing"",""พรบ!J93"")"),0)</f>
        <v>0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IFERROR(__xludf.DUMMYFUNCTION("IMPORTRANGE(""https://docs.google.com/spreadsheets/d/1C3CXT74ZlgGe6_JY_1olB1XN4rF0dxEuIIF-xsYjHgg/edit?usp=sharing"",""พรบ!K93"")"),0)</f>
        <v>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IFERROR(__xludf.DUMMYFUNCTION("IMPORTRANGE(""https://docs.google.com/spreadsheets/d/1C3CXT74ZlgGe6_JY_1olB1XN4rF0dxEuIIF-xsYjHgg/edit?usp=sharing"",""พรบ!L93"")"),0)</f>
        <v>0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IFERROR(__xludf.DUMMYFUNCTION("IMPORTRANGE(""https://docs.google.com/spreadsheets/d/1C3CXT74ZlgGe6_JY_1olB1XN4rF0dxEuIIF-xsYjHgg/edit?usp=sharing"",""พรบ!M93"")"),0)</f>
        <v>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IFERROR(__xludf.DUMMYFUNCTION("IMPORTRANGE(""https://docs.google.com/spreadsheets/d/1C3CXT74ZlgGe6_JY_1olB1XN4rF0dxEuIIF-xsYjHgg/edit?usp=sharing"",""พรบ!N93"")"),0)</f>
        <v>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7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73"/>
      <c r="K35" s="54"/>
      <c r="L35" s="58">
        <f ca="1">IFERROR(__xludf.DUMMYFUNCTION("IMPORTRANGE(""https://docs.google.com/spreadsheets/d/1C3CXT74ZlgGe6_JY_1olB1XN4rF0dxEuIIF-xsYjHgg/edit?usp=sharing"",""พรบ!O93"")"),0)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73"/>
      <c r="K36" s="54"/>
      <c r="L36" s="58">
        <f ca="1">IFERROR(__xludf.DUMMYFUNCTION("IMPORTRANGE(""https://docs.google.com/spreadsheets/d/1C3CXT74ZlgGe6_JY_1olB1XN4rF0dxEuIIF-xsYjHgg/edit?usp=sharing"",""พรบ!P93"")"),0)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3"/>
      <c r="K37" s="54"/>
      <c r="L37" s="58">
        <f ca="1">IFERROR(__xludf.DUMMYFUNCTION("IMPORTRANGE(""https://docs.google.com/spreadsheets/d/1C3CXT74ZlgGe6_JY_1olB1XN4rF0dxEuIIF-xsYjHgg/edit?usp=sharing"",""พรบ!Q93"")"),0)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7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IFERROR(__xludf.DUMMYFUNCTION("IMPORTRANGE(""https://docs.google.com/spreadsheets/d/1C3CXT74ZlgGe6_JY_1olB1XN4rF0dxEuIIF-xsYjHgg/edit?usp=sharing"",""พรบ!R93"")"),0)</f>
        <v>0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IFERROR(__xludf.DUMMYFUNCTION("IMPORTRANGE(""https://docs.google.com/spreadsheets/d/1C3CXT74ZlgGe6_JY_1olB1XN4rF0dxEuIIF-xsYjHgg/edit?usp=sharing"",""พรบ!S93"")"),0)</f>
        <v>0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IFERROR(__xludf.DUMMYFUNCTION("IMPORTRANGE(""https://docs.google.com/spreadsheets/d/1C3CXT74ZlgGe6_JY_1olB1XN4rF0dxEuIIF-xsYjHgg/edit?usp=sharing"",""พรบ!T93"")"),0)</f>
        <v>0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IFERROR(__xludf.DUMMYFUNCTION("IMPORTRANGE(""https://docs.google.com/spreadsheets/d/1C3CXT74ZlgGe6_JY_1olB1XN4rF0dxEuIIF-xsYjHgg/edit?usp=sharing"",""พรบ!U93"")"),0)</f>
        <v>0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IFERROR(__xludf.DUMMYFUNCTION("IMPORTRANGE(""https://docs.google.com/spreadsheets/d/1C3CXT74ZlgGe6_JY_1olB1XN4rF0dxEuIIF-xsYjHgg/edit?usp=sharing"",""พรบ!V93"")"),0)</f>
        <v>0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IFERROR(__xludf.DUMMYFUNCTION("IMPORTRANGE(""https://docs.google.com/spreadsheets/d/1C3CXT74ZlgGe6_JY_1olB1XN4rF0dxEuIIF-xsYjHgg/edit?usp=sharing"",""พรบ!W93"")"),0)</f>
        <v>0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15</v>
      </c>
      <c r="J52" s="43">
        <f>+J62</f>
        <v>0</v>
      </c>
      <c r="K52" s="44">
        <f ca="1">IF(I52&gt;0,J52*100/I52,0)</f>
        <v>0</v>
      </c>
      <c r="L52" s="45">
        <f ca="1">L53+L54</f>
        <v>64890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IFERROR(__xludf.DUMMYFUNCTION("IMPORTRANGE(""https://docs.google.com/spreadsheets/d/1C3CXT74ZlgGe6_JY_1olB1XN4rF0dxEuIIF-xsYjHgg/edit?usp=sharing"",""พรบ!Y93"")"),0)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IFERROR(__xludf.DUMMYFUNCTION("IMPORTRANGE(""https://docs.google.com/spreadsheets/d/1C3CXT74ZlgGe6_JY_1olB1XN4rF0dxEuIIF-xsYjHgg/edit?usp=sharing"",""พรบ!Z93"")"),64890)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4">
        <v>1</v>
      </c>
      <c r="K60" s="54"/>
      <c r="L60" s="66"/>
      <c r="M60" s="66"/>
      <c r="N60" s="66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4">
        <v>0</v>
      </c>
      <c r="K61" s="54"/>
      <c r="L61" s="66"/>
      <c r="M61" s="66"/>
      <c r="N61" s="66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IFERROR(__xludf.DUMMYFUNCTION("IMPORTRANGE(""https://docs.google.com/spreadsheets/d/1C3CXT74ZlgGe6_JY_1olB1XN4rF0dxEuIIF-xsYjHgg/edit?usp=sharing"",""พรบ!AA93"")"),15)</f>
        <v>15</v>
      </c>
      <c r="J62" s="74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15</v>
      </c>
      <c r="J63" s="74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4"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42700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42700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IFERROR(__xludf.DUMMYFUNCTION("IMPORTRANGE(""https://docs.google.com/spreadsheets/d/1C3CXT74ZlgGe6_JY_1olB1XN4rF0dxEuIIF-xsYjHgg/edit?usp=sharing"",""พรบ!AD93"")"),0)</f>
        <v>0</v>
      </c>
      <c r="M72" s="58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42700</v>
      </c>
      <c r="M73" s="59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IFERROR(__xludf.DUMMYFUNCTION("IMPORTRANGE(""https://docs.google.com/spreadsheets/d/1C3CXT74ZlgGe6_JY_1olB1XN4rF0dxEuIIF-xsYjHgg/edit?usp=sharing"",""พรบ!AF93"")"),7500)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1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0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IFERROR(__xludf.DUMMYFUNCTION("IMPORTRANGE(""https://docs.google.com/spreadsheets/d/1C3CXT74ZlgGe6_JY_1olB1XN4rF0dxEuIIF-xsYjHgg/edit?usp=sharing"",""พรบ!AG93"")"),4)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IFERROR(__xludf.DUMMYFUNCTION("IMPORTRANGE(""https://docs.google.com/spreadsheets/d/1C3CXT74ZlgGe6_JY_1olB1XN4rF0dxEuIIF-xsYjHgg/edit?usp=sharing"",""พรบ!AH93"")"),28000)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IFERROR(__xludf.DUMMYFUNCTION("IMPORTRANGE(""https://docs.google.com/spreadsheets/d/1C3CXT74ZlgGe6_JY_1olB1XN4rF0dxEuIIF-xsYjHgg/edit?usp=sharing"",""พรบ!AI93"")"),2)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IFERROR(__xludf.DUMMYFUNCTION("IMPORTRANGE(""https://docs.google.com/spreadsheets/d/1C3CXT74ZlgGe6_JY_1olB1XN4rF0dxEuIIF-xsYjHgg/edit?usp=sharing"",""กปร!C93"")"),72000)</f>
        <v>72000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7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7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3"/>
      <c r="K104" s="54"/>
      <c r="L104" s="58">
        <f ca="1">IFERROR(__xludf.DUMMYFUNCTION("IMPORTRANGE(""https://docs.google.com/spreadsheets/d/1C3CXT74ZlgGe6_JY_1olB1XN4rF0dxEuIIF-xsYjHgg/edit?usp=sharing"",""พรบ!AJ93"")"),0)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3"/>
      <c r="K105" s="54"/>
      <c r="L105" s="66"/>
      <c r="M105" s="66"/>
      <c r="N105" s="66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54"/>
      <c r="L106" s="66"/>
      <c r="M106" s="66"/>
      <c r="N106" s="66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54"/>
      <c r="L108" s="66"/>
      <c r="M108" s="66"/>
      <c r="N108" s="66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54"/>
      <c r="L109" s="66"/>
      <c r="M109" s="66"/>
      <c r="N109" s="66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IFERROR(__xludf.DUMMYFUNCTION("IMPORTRANGE(""https://docs.google.com/spreadsheets/d/1C3CXT74ZlgGe6_JY_1olB1XN4rF0dxEuIIF-xsYjHgg/edit?usp=sharing"",""พรบ!AK93"")"),0)</f>
        <v>0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IFERROR(__xludf.DUMMYFUNCTION("IMPORTRANGE(""https://docs.google.com/spreadsheets/d/1C3CXT74ZlgGe6_JY_1olB1XN4rF0dxEuIIF-xsYjHgg/edit?usp=sharing"",""กปร!D93"")"),0)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IFERROR(__xludf.DUMMYFUNCTION("IMPORTRANGE(""https://docs.google.com/spreadsheets/d/1C3CXT74ZlgGe6_JY_1olB1XN4rF0dxEuIIF-xsYjHgg/edit?usp=sharing"",""พรบ!AL93"")"),0)</f>
        <v>0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IFERROR(__xludf.DUMMYFUNCTION("IMPORTRANGE(""https://docs.google.com/spreadsheets/d/1C3CXT74ZlgGe6_JY_1olB1XN4rF0dxEuIIF-xsYjHgg/edit?usp=sharing"",""กปร!E93"")"),0)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54"/>
      <c r="L112" s="66"/>
      <c r="M112" s="66"/>
      <c r="N112" s="66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54"/>
      <c r="L113" s="66"/>
      <c r="M113" s="66"/>
      <c r="N113" s="66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6400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7200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7200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IFERROR(__xludf.DUMMYFUNCTION("IMPORTRANGE(""https://docs.google.com/spreadsheets/d/1C3CXT74ZlgGe6_JY_1olB1XN4rF0dxEuIIF-xsYjHgg/edit?usp=sharing"",""พรบ!AM93"")"),7200)</f>
        <v>7200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IFERROR(__xludf.DUMMYFUNCTION("IMPORTRANGE(""https://docs.google.com/spreadsheets/d/1C3CXT74ZlgGe6_JY_1olB1XN4rF0dxEuIIF-xsYjHgg/edit?usp=sharing"",""พรบ!AO93"")"),6400)</f>
        <v>6400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IFERROR(__xludf.DUMMYFUNCTION("IMPORTRANGE(""https://docs.google.com/spreadsheets/d/1C3CXT74ZlgGe6_JY_1olB1XN4rF0dxEuIIF-xsYjHgg/edit?usp=sharing"",""พรบ!AP93"")"),6400)</f>
        <v>6400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IFERROR(__xludf.DUMMYFUNCTION("IMPORTRANGE(""https://docs.google.com/spreadsheets/d/1C3CXT74ZlgGe6_JY_1olB1XN4rF0dxEuIIF-xsYjHgg/edit?usp=sharing"",""กปร!F93"")"),3200)</f>
        <v>3200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IFERROR(__xludf.DUMMYFUNCTION("IMPORTRANGE(""https://docs.google.com/spreadsheets/d/1C3CXT74ZlgGe6_JY_1olB1XN4rF0dxEuIIF-xsYjHgg/edit?usp=sharing"",""พรบ!AQ93"")"),0)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IFERROR(__xludf.DUMMYFUNCTION("IMPORTRANGE(""https://docs.google.com/spreadsheets/d/1C3CXT74ZlgGe6_JY_1olB1XN4rF0dxEuIIF-xsYjHgg/edit?usp=sharing"",""กปร!G93"")"),0)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7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7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3"/>
      <c r="K132" s="54"/>
      <c r="L132" s="58">
        <f ca="1">IFERROR(__xludf.DUMMYFUNCTION("IMPORTRANGE(""https://docs.google.com/spreadsheets/d/1C3CXT74ZlgGe6_JY_1olB1XN4rF0dxEuIIF-xsYjHgg/edit?usp=sharing"",""พรบ!AR93"")"),0)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3"/>
      <c r="K133" s="54"/>
      <c r="L133" s="66"/>
      <c r="M133" s="66"/>
      <c r="N133" s="66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54"/>
      <c r="L134" s="66"/>
      <c r="M134" s="66"/>
      <c r="N134" s="66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54"/>
      <c r="L136" s="66"/>
      <c r="M136" s="66"/>
      <c r="N136" s="66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54"/>
      <c r="L137" s="66"/>
      <c r="M137" s="66"/>
      <c r="N137" s="66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IFERROR(__xludf.DUMMYFUNCTION("IMPORTRANGE(""https://docs.google.com/spreadsheets/d/1C3CXT74ZlgGe6_JY_1olB1XN4rF0dxEuIIF-xsYjHgg/edit?usp=sharing"",""พรบ!AS93"")"),0)</f>
        <v>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IFERROR(__xludf.DUMMYFUNCTION("IMPORTRANGE(""https://docs.google.com/spreadsheets/d/1C3CXT74ZlgGe6_JY_1olB1XN4rF0dxEuIIF-xsYjHgg/edit?usp=sharing"",""กปร!H93"")"),0)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54"/>
      <c r="L139" s="66"/>
      <c r="M139" s="58"/>
      <c r="N139" s="66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IFERROR(__xludf.DUMMYFUNCTION("IMPORTRANGE(""https://docs.google.com/spreadsheets/d/1C3CXT74ZlgGe6_JY_1olB1XN4rF0dxEuIIF-xsYjHgg/edit?usp=sharing"",""พรบ!AT93"")"),0)</f>
        <v>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IFERROR(__xludf.DUMMYFUNCTION("IMPORTRANGE(""https://docs.google.com/spreadsheets/d/1C3CXT74ZlgGe6_JY_1olB1XN4rF0dxEuIIF-xsYjHgg/edit?usp=sharing"",""กปร!I93"")"),0)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IFERROR(__xludf.DUMMYFUNCTION("IMPORTRANGE(""https://docs.google.com/spreadsheets/d/1C3CXT74ZlgGe6_JY_1olB1XN4rF0dxEuIIF-xsYjHgg/edit?usp=sharing"",""พรบ!AU93"")"),0)</f>
        <v>0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IFERROR(__xludf.DUMMYFUNCTION("IMPORTRANGE(""https://docs.google.com/spreadsheets/d/1C3CXT74ZlgGe6_JY_1olB1XN4rF0dxEuIIF-xsYjHgg/edit?usp=sharing"",""กปร!J93"")"),0)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54"/>
      <c r="L142" s="66"/>
      <c r="M142" s="66"/>
      <c r="N142" s="66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122"/>
      <c r="L143" s="123"/>
      <c r="M143" s="123"/>
      <c r="N143" s="123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18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23870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23870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 ca="1">IFERROR(__xludf.DUMMYFUNCTION("IMPORTRANGE(""https://docs.google.com/spreadsheets/d/1C3CXT74ZlgGe6_JY_1olB1XN4rF0dxEuIIF-xsYjHgg/edit?usp=sharing"",""พรบ!Ax93"")"),0)</f>
        <v>0</v>
      </c>
      <c r="M147" s="58">
        <v>0</v>
      </c>
      <c r="N147" s="58">
        <f t="shared" ca="1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IFERROR(__xludf.DUMMYFUNCTION("IMPORTRANGE(""https://docs.google.com/spreadsheets/d/1C3CXT74ZlgGe6_JY_1olB1XN4rF0dxEuIIF-xsYjHgg/edit?usp=sharing"",""พรบ!AY93"")"),23870)</f>
        <v>23870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18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IFERROR(__xludf.DUMMYFUNCTION("IMPORTRANGE(""https://docs.google.com/spreadsheets/d/1C3CXT74ZlgGe6_JY_1olB1XN4rF0dxEuIIF-xsYjHgg/edit?usp=sharing"",""พรบ!BA93"")"),18)</f>
        <v>18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7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7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3"/>
      <c r="K172" s="54"/>
      <c r="L172" s="58">
        <f ca="1">IFERROR(__xludf.DUMMYFUNCTION("IMPORTRANGE(""https://docs.google.com/spreadsheets/d/1C3CXT74ZlgGe6_JY_1olB1XN4rF0dxEuIIF-xsYjHgg/edit?usp=sharing"",""พรบ!BD93"")"),0)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3"/>
      <c r="K173" s="54"/>
      <c r="L173" s="58">
        <f ca="1">IFERROR(__xludf.DUMMYFUNCTION("IMPORTRANGE(""https://docs.google.com/spreadsheets/d/1C3CXT74ZlgGe6_JY_1olB1XN4rF0dxEuIIF-xsYjHgg/edit?usp=sharing"",""พรบ!BE93"")"),0)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3"/>
      <c r="K174" s="54"/>
      <c r="L174" s="66"/>
      <c r="M174" s="66"/>
      <c r="N174" s="66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IFERROR(__xludf.DUMMYFUNCTION("IMPORTRANGE(""https://docs.google.com/spreadsheets/d/1C3CXT74ZlgGe6_JY_1olB1XN4rF0dxEuIIF-xsYjHgg/edit?usp=sharing"",""พรบ!BF93"")"),0)</f>
        <v>0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IFERROR(__xludf.DUMMYFUNCTION("IMPORTRANGE(""https://docs.google.com/spreadsheets/d/1C3CXT74ZlgGe6_JY_1olB1XN4rF0dxEuIIF-xsYjHgg/edit?usp=sharing"",""พรบ!BG93"")"),0)</f>
        <v>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IFERROR(__xludf.DUMMYFUNCTION("IMPORTRANGE(""https://docs.google.com/spreadsheets/d/1C3CXT74ZlgGe6_JY_1olB1XN4rF0dxEuIIF-xsYjHgg/edit?usp=sharing"",""พรบ!BH93"")"),0)</f>
        <v>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IFERROR(__xludf.DUMMYFUNCTION("IMPORTRANGE(""https://docs.google.com/spreadsheets/d/1C3CXT74ZlgGe6_JY_1olB1XN4rF0dxEuIIF-xsYjHgg/edit?usp=sharing"",""พรบ!BI93"")"),0)</f>
        <v>0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15</v>
      </c>
      <c r="J185" s="191">
        <f>+J195</f>
        <v>0</v>
      </c>
      <c r="K185" s="192">
        <f ca="1">IF(I185&gt;0,J185*100/I185,0)</f>
        <v>0</v>
      </c>
      <c r="L185" s="193">
        <f ca="1">L186+L187</f>
        <v>187200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187200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IFERROR(__xludf.DUMMYFUNCTION("IMPORTRANGE(""https://docs.google.com/spreadsheets/d/1C3CXT74ZlgGe6_JY_1olB1XN4rF0dxEuIIF-xsYjHgg/edit?usp=sharing"",""พรบ!BK93"")"),132000)</f>
        <v>132000</v>
      </c>
      <c r="M188" s="59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IFERROR(__xludf.DUMMYFUNCTION("IMPORTRANGE(""https://docs.google.com/spreadsheets/d/1C3CXT74ZlgGe6_JY_1olB1XN4rF0dxEuIIF-xsYjHgg/edit?usp=sharing"",""พรบ!BL93"")"),55200)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v>1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4">
        <v>1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4">
        <v>0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IFERROR(__xludf.DUMMYFUNCTION("IMPORTRANGE(""https://docs.google.com/spreadsheets/d/1C3CXT74ZlgGe6_JY_1olB1XN4rF0dxEuIIF-xsYjHgg/edit?usp=sharing"",""พรบ!BM93"")"),15)</f>
        <v>15</v>
      </c>
      <c r="J195" s="74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4"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7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7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73"/>
      <c r="K202" s="54"/>
      <c r="L202" s="58">
        <f ca="1">IFERROR(__xludf.DUMMYFUNCTION("IMPORTRANGE(""https://docs.google.com/spreadsheets/d/1C3CXT74ZlgGe6_JY_1olB1XN4rF0dxEuIIF-xsYjHgg/edit?usp=sharing"",""พรบ!Bo93"")"),0)</f>
        <v>0</v>
      </c>
      <c r="M202" s="58">
        <v>0</v>
      </c>
      <c r="N202" s="58">
        <f t="shared" ca="1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3"/>
      <c r="K203" s="54"/>
      <c r="L203" s="58">
        <f ca="1">IFERROR(__xludf.DUMMYFUNCTION("IMPORTRANGE(""https://docs.google.com/spreadsheets/d/1C3CXT74ZlgGe6_JY_1olB1XN4rF0dxEuIIF-xsYjHgg/edit?usp=sharing"",""พรบ!BP93"")"),0)</f>
        <v>0</v>
      </c>
      <c r="M203" s="58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3"/>
      <c r="K204" s="54"/>
      <c r="L204" s="66"/>
      <c r="M204" s="66"/>
      <c r="N204" s="66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IFERROR(__xludf.DUMMYFUNCTION("IMPORTRANGE(""https://docs.google.com/spreadsheets/d/1C3CXT74ZlgGe6_JY_1olB1XN4rF0dxEuIIF-xsYjHgg/edit?usp=sharing"",""พรบ!BQ93"")"),0)</f>
        <v>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IFERROR(__xludf.DUMMYFUNCTION("IMPORTRANGE(""https://docs.google.com/spreadsheets/d/1C3CXT74ZlgGe6_JY_1olB1XN4rF0dxEuIIF-xsYjHgg/edit?usp=sharing"",""พรบ!BR93"")"),0)</f>
        <v>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3"/>
      <c r="K217" s="54"/>
      <c r="L217" s="58">
        <f ca="1">IFERROR(__xludf.DUMMYFUNCTION("IMPORTRANGE(""https://docs.google.com/spreadsheets/d/1C3CXT74ZlgGe6_JY_1olB1XN4rF0dxEuIIF-xsYjHgg/edit?usp=sharing"",""พรบ!BU93"")"),0)</f>
        <v>0</v>
      </c>
      <c r="M217" s="58">
        <v>0</v>
      </c>
      <c r="N217" s="58">
        <f t="shared" ca="1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3"/>
      <c r="K218" s="54"/>
      <c r="L218" s="58">
        <f ca="1">IFERROR(__xludf.DUMMYFUNCTION("IMPORTRANGE(""https://docs.google.com/spreadsheets/d/1C3CXT74ZlgGe6_JY_1olB1XN4rF0dxEuIIF-xsYjHgg/edit?usp=sharing"",""พรบ!BU93"")"),0)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3"/>
      <c r="K219" s="54"/>
      <c r="L219" s="66"/>
      <c r="M219" s="66"/>
      <c r="N219" s="66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IFERROR(__xludf.DUMMYFUNCTION("IMPORTRANGE(""https://docs.google.com/spreadsheets/d/1C3CXT74ZlgGe6_JY_1olB1XN4rF0dxEuIIF-xsYjHgg/edit?usp=sharing"",""พรบ!BV93"")"),0)</f>
        <v>0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50</v>
      </c>
      <c r="J228" s="212">
        <f ca="1">J240</f>
        <v>13</v>
      </c>
      <c r="K228" s="192">
        <f ca="1">IF(I228&gt;0,J228*100/I228,0)</f>
        <v>26</v>
      </c>
      <c r="L228" s="193">
        <f ca="1">L229+L230</f>
        <v>757350</v>
      </c>
      <c r="M228" s="193">
        <f>SUM(M229:M230)</f>
        <v>0</v>
      </c>
      <c r="N228" s="192">
        <f ca="1">IF(L228&gt;0,M228*100/L228,0)</f>
        <v>0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757350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IFERROR(__xludf.DUMMYFUNCTION("IMPORTRANGE(""https://docs.google.com/spreadsheets/d/1C3CXT74ZlgGe6_JY_1olB1XN4rF0dxEuIIF-xsYjHgg/edit?usp=sharing"",""พรบ!BX93"")"),530800)</f>
        <v>530800</v>
      </c>
      <c r="M231" s="59">
        <v>0</v>
      </c>
      <c r="N231" s="58">
        <f t="shared" ca="1" si="50"/>
        <v>0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IFERROR(__xludf.DUMMYFUNCTION("IMPORTRANGE(""https://docs.google.com/spreadsheets/d/1C3CXT74ZlgGe6_JY_1olB1XN4rF0dxEuIIF-xsYjHgg/edit?usp=sharing"",""พรบ!BY93"")"),226550)</f>
        <v>226550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IFERROR(__xludf.DUMMYFUNCTION("IMPORTRANGE(""https://docs.google.com/spreadsheets/d/1AGHcLOeeYFL3K4b9R1dSzyJy00PE_ra89DNTVfnxSWM/edit?usp=sharing"",""รวมที่ทำกิน!J82"")"),20)</f>
        <v>20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IFERROR(__xludf.DUMMYFUNCTION("IMPORTRANGE(""https://docs.google.com/spreadsheets/d/1C3CXT74ZlgGe6_JY_1olB1XN4rF0dxEuIIF-xsYjHgg/edit?usp=sharing"",""พรบ!BZ93"")"),480)</f>
        <v>480</v>
      </c>
      <c r="J235" s="73">
        <f ca="1">IFERROR(__xludf.DUMMYFUNCTION("IMPORTRANGE(""https://docs.google.com/spreadsheets/d/1AGHcLOeeYFL3K4b9R1dSzyJy00PE_ra89DNTVfnxSWM/edit?usp=sharing"",""รวมที่ทำกิน!L82"")"),96.78)</f>
        <v>96.78</v>
      </c>
      <c r="K235" s="215">
        <f t="shared" ca="1" si="52"/>
        <v>20.162500000000001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IFERROR(__xludf.DUMMYFUNCTION("IMPORTRANGE(""https://docs.google.com/spreadsheets/d/1C3CXT74ZlgGe6_JY_1olB1XN4rF0dxEuIIF-xsYjHgg/edit?usp=sharing"",""พรบ!CA93"")"),50)</f>
        <v>50</v>
      </c>
      <c r="J236" s="73">
        <f ca="1">IFERROR(__xludf.DUMMYFUNCTION("IMPORTRANGE(""https://docs.google.com/spreadsheets/d/1AGHcLOeeYFL3K4b9R1dSzyJy00PE_ra89DNTVfnxSWM/edit?usp=sharing"",""รวมที่ทำกิน!O82"")"),20)</f>
        <v>20</v>
      </c>
      <c r="K236" s="215">
        <f t="shared" ca="1" si="52"/>
        <v>40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IFERROR(__xludf.DUMMYFUNCTION("IMPORTRANGE(""https://docs.google.com/spreadsheets/d/1AGHcLOeeYFL3K4b9R1dSzyJy00PE_ra89DNTVfnxSWM/edit?usp=sharing"",""รวมที่ทำกิน!Q82"")"),96.78)</f>
        <v>96.78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IFERROR(__xludf.DUMMYFUNCTION("IMPORTRANGE(""https://docs.google.com/spreadsheets/d/1C3CXT74ZlgGe6_JY_1olB1XN4rF0dxEuIIF-xsYjHgg/edit?usp=sharing"",""พรบ!CB93"")"),50)</f>
        <v>50</v>
      </c>
      <c r="J238" s="73">
        <f ca="1">IFERROR(__xludf.DUMMYFUNCTION("IMPORTRANGE(""https://docs.google.com/spreadsheets/d/1AGHcLOeeYFL3K4b9R1dSzyJy00PE_ra89DNTVfnxSWM/edit?usp=sharing"",""รวมที่ทำกิน!S82"")"),0)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IFERROR(__xludf.DUMMYFUNCTION("IMPORTRANGE(""https://docs.google.com/spreadsheets/d/1AGHcLOeeYFL3K4b9R1dSzyJy00PE_ra89DNTVfnxSWM/edit?usp=sharing"",""รวมที่ทำกิน!U82"")"),0)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IFERROR(__xludf.DUMMYFUNCTION("IMPORTRANGE(""https://docs.google.com/spreadsheets/d/1C3CXT74ZlgGe6_JY_1olB1XN4rF0dxEuIIF-xsYjHgg/edit?usp=sharing"",""พรบ!CC93"")"),50)</f>
        <v>50</v>
      </c>
      <c r="J240" s="73">
        <f ca="1">IFERROR(__xludf.DUMMYFUNCTION("IMPORTRANGE(""https://docs.google.com/spreadsheets/d/1AGHcLOeeYFL3K4b9R1dSzyJy00PE_ra89DNTVfnxSWM/edit?usp=sharing"",""รวมที่ทำกิน!W82"")"),13)</f>
        <v>13</v>
      </c>
      <c r="K240" s="215">
        <f t="shared" ca="1" si="52"/>
        <v>26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IFERROR(__xludf.DUMMYFUNCTION("IMPORTRANGE(""https://docs.google.com/spreadsheets/d/1AGHcLOeeYFL3K4b9R1dSzyJy00PE_ra89DNTVfnxSWM/edit?usp=sharing"",""รวมที่ทำกิน!Y82"")"),71.28)</f>
        <v>71.28</v>
      </c>
      <c r="K241" s="215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496176</v>
      </c>
      <c r="M242" s="230">
        <f t="shared" si="53"/>
        <v>0</v>
      </c>
      <c r="N242" s="230">
        <f ca="1">+IF(L242&gt;0,M242*100/L242,0)</f>
        <v>0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IFERROR(__xludf.DUMMYFUNCTION("IMPORTRANGE(""https://docs.google.com/spreadsheets/d/1C3CXT74ZlgGe6_JY_1olB1XN4rF0dxEuIIF-xsYjHgg/edit?usp=sharing"",""งบกองทุน!d93"")"),0)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IFERROR(__xludf.DUMMYFUNCTION("IMPORTRANGE(""https://docs.google.com/spreadsheets/d/1C3CXT74ZlgGe6_JY_1olB1XN4rF0dxEuIIF-xsYjHgg/edit?usp=sharing"",""งบกองทุน!e93"")"),0)</f>
        <v>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8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8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8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8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3"/>
      <c r="K254" s="54"/>
      <c r="L254" s="66"/>
      <c r="M254" s="58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3">
        <v>0</v>
      </c>
      <c r="K255" s="54"/>
      <c r="L255" s="66"/>
      <c r="M255" s="58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3">
        <v>0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3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IFERROR(__xludf.DUMMYFUNCTION("IMPORTRANGE(""https://docs.google.com/spreadsheets/d/1C3CXT74ZlgGe6_JY_1olB1XN4rF0dxEuIIF-xsYjHgg/edit?usp=sharing"",""งบกองทุน!f93"")"),0)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IFERROR(__xludf.DUMMYFUNCTION("IMPORTRANGE(""https://docs.google.com/spreadsheets/d/1C3CXT74ZlgGe6_JY_1olB1XN4rF0dxEuIIF-xsYjHgg/edit?usp=sharing"",""งบกองทุน!H93"")"),0)</f>
        <v>0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IFERROR(__xludf.DUMMYFUNCTION("IMPORTRANGE(""https://docs.google.com/spreadsheets/d/1C3CXT74ZlgGe6_JY_1olB1XN4rF0dxEuIIF-xsYjHgg/edit?usp=sharing"",""งบกองทุน!i93"")"),0)</f>
        <v>0</v>
      </c>
      <c r="J264" s="73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0</v>
      </c>
      <c r="J265" s="73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IFERROR(__xludf.DUMMYFUNCTION("IMPORTRANGE(""https://docs.google.com/spreadsheets/d/1C3CXT74ZlgGe6_JY_1olB1XN4rF0dxEuIIF-xsYjHgg/edit?usp=sharing"",""งบกองทุน!k93"")"),0)</f>
        <v>0</v>
      </c>
      <c r="J266" s="73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0</v>
      </c>
      <c r="J267" s="73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IFERROR(__xludf.DUMMYFUNCTION("IMPORTRANGE(""https://docs.google.com/spreadsheets/d/1C3CXT74ZlgGe6_JY_1olB1XN4rF0dxEuIIF-xsYjHgg/edit?usp=sharing"",""งบกองทุน!m93"")"),0)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IFERROR(__xludf.DUMMYFUNCTION("IMPORTRANGE(""https://docs.google.com/spreadsheets/d/1C3CXT74ZlgGe6_JY_1olB1XN4rF0dxEuIIF-xsYjHgg/edit?usp=sharing"",""งบกองทุน!o93"")"),0)</f>
        <v>0</v>
      </c>
      <c r="J271" s="73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IFERROR(__xludf.DUMMYFUNCTION("IMPORTRANGE(""https://docs.google.com/spreadsheets/d/1C3CXT74ZlgGe6_JY_1olB1XN4rF0dxEuIIF-xsYjHgg/edit?usp=sharing"",""งบกองทุน!p93"")"),0)</f>
        <v>0</v>
      </c>
      <c r="J272" s="73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3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38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50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87710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5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87710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IFERROR(__xludf.DUMMYFUNCTION("IMPORTRANGE(""https://docs.google.com/spreadsheets/d/1C3CXT74ZlgGe6_JY_1olB1XN4rF0dxEuIIF-xsYjHgg/edit?usp=sharing"",""งบกองทุน!r93"")"),0)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IFERROR(__xludf.DUMMYFUNCTION("IMPORTRANGE(""https://docs.google.com/spreadsheets/d/1C3CXT74ZlgGe6_JY_1olB1XN4rF0dxEuIIF-xsYjHgg/edit?usp=sharing"",""งบกองทุน!s93"")"),87710)</f>
        <v>87710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IFERROR(__xludf.DUMMYFUNCTION("IMPORTRANGE(""https://docs.google.com/spreadsheets/d/1C3CXT74ZlgGe6_JY_1olB1XN4rF0dxEuIIF-xsYjHgg/edit?usp=sharing"",""งบกองทุน!v93"")"),5)</f>
        <v>5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IFERROR(__xludf.DUMMYFUNCTION("IMPORTRANGE(""https://docs.google.com/spreadsheets/d/1C3CXT74ZlgGe6_JY_1olB1XN4rF0dxEuIIF-xsYjHgg/edit?usp=sharing"",""งบกองทุน!w93"")"),50)</f>
        <v>50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IFERROR(__xludf.DUMMYFUNCTION("IMPORTRANGE(""https://docs.google.com/spreadsheets/d/1C3CXT74ZlgGe6_JY_1olB1XN4rF0dxEuIIF-xsYjHgg/edit?usp=sharing"",""งบกองทุน!x93"")"),5)</f>
        <v>5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75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81620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25</v>
      </c>
      <c r="J297" s="244">
        <f ca="1">J311</f>
        <v>15</v>
      </c>
      <c r="K297" s="245">
        <f t="shared" ca="1" si="69"/>
        <v>60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81620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IFERROR(__xludf.DUMMYFUNCTION("IMPORTRANGE(""https://docs.google.com/spreadsheets/d/1C3CXT74ZlgGe6_JY_1olB1XN4rF0dxEuIIF-xsYjHgg/edit?usp=sharing"",""งบกองทุน!z93"")"),0)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IFERROR(__xludf.DUMMYFUNCTION("IMPORTRANGE(""https://docs.google.com/spreadsheets/d/1C3CXT74ZlgGe6_JY_1olB1XN4rF0dxEuIIF-xsYjHgg/edit?usp=sharing"",""งบกองทุน!aa93"")"),81620)</f>
        <v>81620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25</v>
      </c>
      <c r="J311" s="84">
        <f t="shared" ca="1" si="73"/>
        <v>15</v>
      </c>
      <c r="K311" s="85">
        <f t="shared" ref="K311:K327" ca="1" si="74">IF(I311&gt;0,J311*100/I311,0)</f>
        <v>60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IFERROR(__xludf.DUMMYFUNCTION("IMPORTRANGE(""https://docs.google.com/spreadsheets/d/1C3CXT74ZlgGe6_JY_1olB1XN4rF0dxEuIIF-xsYjHgg/edit?usp=sharing"",""งบกองทุน!ae93"")"),10)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IFERROR(__xludf.DUMMYFUNCTION("IMPORTRANGE(""https://docs.google.com/spreadsheets/d/1C3CXT74ZlgGe6_JY_1olB1XN4rF0dxEuIIF-xsYjHgg/edit?usp=sharing"",""งบกองทุน!ad93"")"),30)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IFERROR(__xludf.DUMMYFUNCTION("IMPORTRANGE(""https://docs.google.com/spreadsheets/d/1C3CXT74ZlgGe6_JY_1olB1XN4rF0dxEuIIF-xsYjHgg/edit?usp=sharing"",""งบกองทุน!af93"")"),10)</f>
        <v>10</v>
      </c>
      <c r="J314" s="390"/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IFERROR(__xludf.DUMMYFUNCTION("IMPORTRANGE(""https://docs.google.com/spreadsheets/d/1C3CXT74ZlgGe6_JY_1olB1XN4rF0dxEuIIF-xsYjHgg/edit?usp=sharing"",""งบกองทุน!ag93"")"),10)</f>
        <v>10</v>
      </c>
      <c r="J315" s="390"/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IFERROR(__xludf.DUMMYFUNCTION("IMPORTRANGE(""https://docs.google.com/spreadsheets/d/1C3CXT74ZlgGe6_JY_1olB1XN4rF0dxEuIIF-xsYjHgg/edit?usp=sharing"",""งบกองทุน!ai93"")"),0)</f>
        <v>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IFERROR(__xludf.DUMMYFUNCTION("IMPORTRANGE(""https://docs.google.com/spreadsheets/d/1C3CXT74ZlgGe6_JY_1olB1XN4rF0dxEuIIF-xsYjHgg/edit?usp=sharing"",""งบกองทุน!ah93"")"),0)</f>
        <v>0</v>
      </c>
      <c r="J317" s="391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IFERROR(__xludf.DUMMYFUNCTION("IMPORTRANGE(""https://docs.google.com/spreadsheets/d/1C3CXT74ZlgGe6_JY_1olB1XN4rF0dxEuIIF-xsYjHgg/edit?usp=sharing"",""งบกองทุน!aj93"")"),0)</f>
        <v>0</v>
      </c>
      <c r="J318" s="392"/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IFERROR(__xludf.DUMMYFUNCTION("IMPORTRANGE(""https://docs.google.com/spreadsheets/d/1C3CXT74ZlgGe6_JY_1olB1XN4rF0dxEuIIF-xsYjHgg/edit?usp=sharing"",""งบกองทุน!ak93"")"),0)</f>
        <v>0</v>
      </c>
      <c r="J319" s="392"/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IFERROR(__xludf.DUMMYFUNCTION("IMPORTRANGE(""https://docs.google.com/spreadsheets/d/1C3CXT74ZlgGe6_JY_1olB1XN4rF0dxEuIIF-xsYjHgg/edit?usp=sharing"",""งบกองทุน!al93"")"),0)</f>
        <v>0</v>
      </c>
      <c r="J320" s="392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IFERROR(__xludf.DUMMYFUNCTION("IMPORTRANGE(""https://docs.google.com/spreadsheets/d/1C3CXT74ZlgGe6_JY_1olB1XN4rF0dxEuIIF-xsYjHgg/edit?usp=sharing"",""งบกองทุน!an93"")"),15)</f>
        <v>15</v>
      </c>
      <c r="J321" s="388">
        <f ca="1">IF(AND(J323=I323,J324=I324),I323,0)</f>
        <v>15</v>
      </c>
      <c r="K321" s="85">
        <f t="shared" ca="1" si="74"/>
        <v>100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IFERROR(__xludf.DUMMYFUNCTION("IMPORTRANGE(""https://docs.google.com/spreadsheets/d/1C3CXT74ZlgGe6_JY_1olB1XN4rF0dxEuIIF-xsYjHgg/edit?usp=sharing"",""งบกองทุน!am93"")"),45)</f>
        <v>45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IFERROR(__xludf.DUMMYFUNCTION("IMPORTRANGE(""https://docs.google.com/spreadsheets/d/1C3CXT74ZlgGe6_JY_1olB1XN4rF0dxEuIIF-xsYjHgg/edit?usp=sharing"",""งบกองทุน!ao93"")"),15)</f>
        <v>15</v>
      </c>
      <c r="J323" s="390">
        <v>15</v>
      </c>
      <c r="K323" s="54">
        <f t="shared" ca="1" si="74"/>
        <v>100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IFERROR(__xludf.DUMMYFUNCTION("IMPORTRANGE(""https://docs.google.com/spreadsheets/d/1C3CXT74ZlgGe6_JY_1olB1XN4rF0dxEuIIF-xsYjHgg/edit?usp=sharing"",""งบกองทุน!ap93"")"),15)</f>
        <v>15</v>
      </c>
      <c r="J324" s="390">
        <v>15</v>
      </c>
      <c r="K324" s="54">
        <f t="shared" ca="1" si="74"/>
        <v>100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10</v>
      </c>
      <c r="J325" s="388">
        <f ca="1">IF(AND(J326=I326,J327=I327),I325,0)</f>
        <v>0</v>
      </c>
      <c r="K325" s="85">
        <f t="shared" ca="1" si="74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IFERROR(__xludf.DUMMYFUNCTION("IMPORTRANGE(""https://docs.google.com/spreadsheets/d/1C3CXT74ZlgGe6_JY_1olB1XN4rF0dxEuIIF-xsYjHgg/edit?usp=sharing"",""งบกองทุน!ar93"")"),10)</f>
        <v>10</v>
      </c>
      <c r="J326" s="390">
        <v>0</v>
      </c>
      <c r="K326" s="54">
        <f t="shared" ca="1" si="74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IFERROR(__xludf.DUMMYFUNCTION("IMPORTRANGE(""https://docs.google.com/spreadsheets/d/1C3CXT74ZlgGe6_JY_1olB1XN4rF0dxEuIIF-xsYjHgg/edit?usp=sharing"",""งบกองทุน!as93"")"),0)</f>
        <v>0</v>
      </c>
      <c r="J327" s="392">
        <v>0</v>
      </c>
      <c r="K327" s="54">
        <f t="shared" ca="1" si="74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0</v>
      </c>
      <c r="K330" s="276">
        <f ca="1">IF(I330&gt;0,J330*100/I330,0)</f>
        <v>0</v>
      </c>
      <c r="L330" s="277">
        <f t="shared" ref="L330:M330" ca="1" si="75">SUM(L331:L332)</f>
        <v>71000</v>
      </c>
      <c r="M330" s="277">
        <f t="shared" si="75"/>
        <v>0</v>
      </c>
      <c r="N330" s="277">
        <f t="shared" ref="N330:N334" ca="1" si="76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6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7">SUM(L333:L334)</f>
        <v>71000</v>
      </c>
      <c r="M332" s="58">
        <f t="shared" si="77"/>
        <v>0</v>
      </c>
      <c r="N332" s="58">
        <f t="shared" ca="1" si="76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IFERROR(__xludf.DUMMYFUNCTION("IMPORTRANGE(""https://docs.google.com/spreadsheets/d/1C3CXT74ZlgGe6_JY_1olB1XN4rF0dxEuIIF-xsYjHgg/edit?usp=sharing"",""งบกองทุน!au93"")"),0)</f>
        <v>0</v>
      </c>
      <c r="M333" s="58">
        <v>0</v>
      </c>
      <c r="N333" s="58">
        <f t="shared" ca="1" si="76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IFERROR(__xludf.DUMMYFUNCTION("IMPORTRANGE(""https://docs.google.com/spreadsheets/d/1C3CXT74ZlgGe6_JY_1olB1XN4rF0dxEuIIF-xsYjHgg/edit?usp=sharing"",""งบกองทุน!av93"")"),71000)</f>
        <v>71000</v>
      </c>
      <c r="M334" s="58">
        <f>SUM(M335:M338)</f>
        <v>0</v>
      </c>
      <c r="N334" s="58">
        <f t="shared" ca="1" si="76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8">+I345+I346+I347</f>
        <v>10</v>
      </c>
      <c r="J344" s="84">
        <f t="shared" si="78"/>
        <v>0</v>
      </c>
      <c r="K344" s="54">
        <f t="shared" ref="K344:K347" ca="1" si="79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IFERROR(__xludf.DUMMYFUNCTION("IMPORTRANGE(""https://docs.google.com/spreadsheets/d/1C3CXT74ZlgGe6_JY_1olB1XN4rF0dxEuIIF-xsYjHgg/edit?usp=sharing"",""งบกองทุน!ay93"")"),10)</f>
        <v>10</v>
      </c>
      <c r="J345" s="74">
        <v>0</v>
      </c>
      <c r="K345" s="54">
        <f t="shared" ca="1" si="79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IFERROR(__xludf.DUMMYFUNCTION("IMPORTRANGE(""https://docs.google.com/spreadsheets/d/1C3CXT74ZlgGe6_JY_1olB1XN4rF0dxEuIIF-xsYjHgg/edit?usp=sharing"",""งบกองทุน!az93"")"),0)</f>
        <v>0</v>
      </c>
      <c r="J346" s="74">
        <v>0</v>
      </c>
      <c r="K346" s="54">
        <f t="shared" ca="1" si="79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IFERROR(__xludf.DUMMYFUNCTION("IMPORTRANGE(""https://docs.google.com/spreadsheets/d/1C3CXT74ZlgGe6_JY_1olB1XN4rF0dxEuIIF-xsYjHgg/edit?usp=sharing"",""งบกองทุน!Ba93"")"),0)</f>
        <v>0</v>
      </c>
      <c r="J347" s="74">
        <v>0</v>
      </c>
      <c r="K347" s="54">
        <f t="shared" ca="1" si="79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9219</v>
      </c>
      <c r="J350" s="244">
        <f>+J359</f>
        <v>0</v>
      </c>
      <c r="K350" s="245">
        <f ca="1">IF(I350&gt;0,J350*100/I350,0)</f>
        <v>0</v>
      </c>
      <c r="L350" s="246">
        <f t="shared" ref="L350:M350" ca="1" si="80">SUM(L351:L352)</f>
        <v>90626</v>
      </c>
      <c r="M350" s="246">
        <f t="shared" si="80"/>
        <v>0</v>
      </c>
      <c r="N350" s="246">
        <f t="shared" ref="N350:N354" ca="1" si="81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1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2">SUM(L353:L354)</f>
        <v>90626</v>
      </c>
      <c r="M352" s="58">
        <f t="shared" si="82"/>
        <v>0</v>
      </c>
      <c r="N352" s="58">
        <f t="shared" ca="1" si="81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IFERROR(__xludf.DUMMYFUNCTION("IMPORTRANGE(""https://docs.google.com/spreadsheets/d/1C3CXT74ZlgGe6_JY_1olB1XN4rF0dxEuIIF-xsYjHgg/edit?usp=sharing"",""งบกองทุน!Bc93"")"),0)</f>
        <v>0</v>
      </c>
      <c r="M353" s="58">
        <v>0</v>
      </c>
      <c r="N353" s="58">
        <f t="shared" ca="1" si="81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IFERROR(__xludf.DUMMYFUNCTION("IMPORTRANGE(""https://docs.google.com/spreadsheets/d/1C3CXT74ZlgGe6_JY_1olB1XN4rF0dxEuIIF-xsYjHgg/edit?usp=sharing"",""งบกองทุน!Bd93"")"),90626)</f>
        <v>90626</v>
      </c>
      <c r="M354" s="58">
        <f>SUM(M355:M358)</f>
        <v>0</v>
      </c>
      <c r="N354" s="58">
        <f t="shared" ca="1" si="81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IFERROR(__xludf.DUMMYFUNCTION("IMPORTRANGE(""https://docs.google.com/spreadsheets/d/1C3CXT74ZlgGe6_JY_1olB1XN4rF0dxEuIIF-xsYjHgg/edit?usp=sharing"",""งบกองทุน!BE93"")"),9219)</f>
        <v>9219</v>
      </c>
      <c r="J359" s="148">
        <f>+J376</f>
        <v>0</v>
      </c>
      <c r="K359" s="149">
        <f t="shared" ref="K359:K425" ca="1" si="83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9219</v>
      </c>
      <c r="J360" s="283">
        <f t="shared" ref="J360:J361" si="84">+J362+J364+J366</f>
        <v>0</v>
      </c>
      <c r="K360" s="85">
        <f t="shared" ca="1" si="83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IFERROR(__xludf.DUMMYFUNCTION("IMPORTRANGE(""https://docs.google.com/spreadsheets/d/1C3CXT74ZlgGe6_JY_1olB1XN4rF0dxEuIIF-xsYjHgg/edit?usp=sharing"",""งบกองทุน!BF93"")"),1411)</f>
        <v>1411</v>
      </c>
      <c r="J361" s="283">
        <f t="shared" si="84"/>
        <v>0</v>
      </c>
      <c r="K361" s="85">
        <f t="shared" ca="1" si="83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3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3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3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3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3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3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9219</v>
      </c>
      <c r="J368" s="283">
        <f t="shared" ref="J368:J369" si="85">+J370+J372+J374</f>
        <v>0</v>
      </c>
      <c r="K368" s="85">
        <f t="shared" ca="1" si="83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1411</v>
      </c>
      <c r="J369" s="283">
        <f t="shared" si="85"/>
        <v>0</v>
      </c>
      <c r="K369" s="85">
        <f t="shared" ca="1" si="83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3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3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3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3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3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3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9219</v>
      </c>
      <c r="J376" s="283">
        <f t="shared" ref="J376:J377" si="86">+J378+J380+J382+J388</f>
        <v>0</v>
      </c>
      <c r="K376" s="85">
        <f t="shared" ca="1" si="83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1411</v>
      </c>
      <c r="J377" s="283">
        <f t="shared" si="86"/>
        <v>0</v>
      </c>
      <c r="K377" s="85">
        <f t="shared" ca="1" si="83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3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3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3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3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7">J384+J386</f>
        <v>0</v>
      </c>
      <c r="K382" s="54">
        <f t="shared" si="83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7"/>
        <v>0</v>
      </c>
      <c r="K383" s="54">
        <f t="shared" si="83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3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3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3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3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3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3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IFERROR(__xludf.DUMMYFUNCTION("IMPORTRANGE(""https://docs.google.com/spreadsheets/d/1C3CXT74ZlgGe6_JY_1olB1XN4rF0dxEuIIF-xsYjHgg/edit?usp=sharing"",""งบกองทุน!cd93"")"),0)</f>
        <v>0</v>
      </c>
      <c r="J390" s="148">
        <f>J391</f>
        <v>0</v>
      </c>
      <c r="K390" s="149">
        <f t="shared" ca="1" si="83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IFERROR(__xludf.DUMMYFUNCTION("IMPORTRANGE(""https://docs.google.com/spreadsheets/d/1C3CXT74ZlgGe6_JY_1olB1XN4rF0dxEuIIF-xsYjHgg/edit?usp=sharing"",""งบกองทุน!cd93"")"),0)</f>
        <v>0</v>
      </c>
      <c r="J391" s="283">
        <f t="shared" ref="J391:J392" si="88">J393+J401+J407</f>
        <v>0</v>
      </c>
      <c r="K391" s="379">
        <f t="shared" ca="1" si="83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IFERROR(__xludf.DUMMYFUNCTION("IMPORTRANGE(""https://docs.google.com/spreadsheets/d/1C3CXT74ZlgGe6_JY_1olB1XN4rF0dxEuIIF-xsYjHgg/edit?usp=sharing"",""งบกองทุน!cc93"")"),0)</f>
        <v>0</v>
      </c>
      <c r="J392" s="283">
        <f t="shared" si="88"/>
        <v>0</v>
      </c>
      <c r="K392" s="379">
        <f t="shared" ca="1" si="83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89">J395+J397+J399</f>
        <v>0</v>
      </c>
      <c r="K393" s="250">
        <f t="shared" si="83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89"/>
        <v>0</v>
      </c>
      <c r="K394" s="250">
        <f t="shared" si="83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3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3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3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3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3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3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0">+J403+J405</f>
        <v>0</v>
      </c>
      <c r="K401" s="250">
        <f t="shared" si="83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0"/>
        <v>0</v>
      </c>
      <c r="K402" s="250">
        <f t="shared" si="83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3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3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3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3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3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3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IFERROR(__xludf.DUMMYFUNCTION("IMPORTRANGE(""https://docs.google.com/spreadsheets/d/1C3CXT74ZlgGe6_JY_1olB1XN4rF0dxEuIIF-xsYjHgg/edit?usp=sharing"",""งบกองทุน!cz93"")"),0)</f>
        <v>0</v>
      </c>
      <c r="J409" s="148">
        <f ca="1">+J412+J414</f>
        <v>0</v>
      </c>
      <c r="K409" s="149">
        <f t="shared" ca="1" si="83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10" t="s">
        <v>103</v>
      </c>
      <c r="I410" s="161">
        <f ca="1">IFERROR(__xludf.DUMMYFUNCTION("IMPORTRANGE(""https://docs.google.com/spreadsheets/d/1C3CXT74ZlgGe6_JY_1olB1XN4rF0dxEuIIF-xsYjHgg/edit?usp=sharing"",""งบกองทุน!cz93"")"),0)</f>
        <v>0</v>
      </c>
      <c r="J410" s="161">
        <f t="shared" ref="J410:J411" ca="1" si="91">SUM(J412,J414)</f>
        <v>0</v>
      </c>
      <c r="K410" s="162">
        <f t="shared" ca="1" si="83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310" t="s">
        <v>15</v>
      </c>
      <c r="I411" s="161">
        <f ca="1">IFERROR(__xludf.DUMMYFUNCTION("IMPORTRANGE(""https://docs.google.com/spreadsheets/d/1C3CXT74ZlgGe6_JY_1olB1XN4rF0dxEuIIF-xsYjHgg/edit?usp=sharing"",""งบกองทุน!cy93"")"),0)</f>
        <v>0</v>
      </c>
      <c r="J411" s="161">
        <f t="shared" ca="1" si="91"/>
        <v>0</v>
      </c>
      <c r="K411" s="162">
        <f t="shared" ca="1" si="83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285" t="s">
        <v>103</v>
      </c>
      <c r="I412" s="53">
        <v>0</v>
      </c>
      <c r="J412" s="393">
        <f ca="1">IFERROR(__xludf.DUMMYFUNCTION("IMPORTRANGE(""https://docs.google.com/spreadsheets/d/1C3CXT74ZlgGe6_JY_1olB1XN4rF0dxEuIIF-xsYjHgg/edit?usp=sharing"",""งบกองทุน!db93"")"),0)</f>
        <v>0</v>
      </c>
      <c r="K412" s="250">
        <f t="shared" si="83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285" t="s">
        <v>15</v>
      </c>
      <c r="I413" s="53">
        <v>0</v>
      </c>
      <c r="J413" s="393">
        <f ca="1">IFERROR(__xludf.DUMMYFUNCTION("IMPORTRANGE(""https://docs.google.com/spreadsheets/d/1C3CXT74ZlgGe6_JY_1olB1XN4rF0dxEuIIF-xsYjHgg/edit?usp=sharing"",""งบกองทุน!da93"")"),0)</f>
        <v>0</v>
      </c>
      <c r="K413" s="250">
        <f t="shared" si="83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285" t="s">
        <v>103</v>
      </c>
      <c r="I414" s="53">
        <v>0</v>
      </c>
      <c r="J414" s="393">
        <f ca="1">IFERROR(__xludf.DUMMYFUNCTION("IMPORTRANGE(""https://docs.google.com/spreadsheets/d/1C3CXT74ZlgGe6_JY_1olB1XN4rF0dxEuIIF-xsYjHgg/edit?usp=sharing"",""งบกองทุน!dd93"")"),0)</f>
        <v>0</v>
      </c>
      <c r="K414" s="250">
        <f t="shared" si="83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285" t="s">
        <v>15</v>
      </c>
      <c r="I415" s="53">
        <v>0</v>
      </c>
      <c r="J415" s="393">
        <f ca="1">IFERROR(__xludf.DUMMYFUNCTION("IMPORTRANGE(""https://docs.google.com/spreadsheets/d/1C3CXT74ZlgGe6_JY_1olB1XN4rF0dxEuIIF-xsYjHgg/edit?usp=sharing"",""งบกองทุน!dc93"")"),0)</f>
        <v>0</v>
      </c>
      <c r="K415" s="250">
        <f t="shared" si="83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285" t="s">
        <v>103</v>
      </c>
      <c r="I416" s="53">
        <v>0</v>
      </c>
      <c r="J416" s="393">
        <f ca="1">IFERROR(__xludf.DUMMYFUNCTION("IMPORTRANGE(""https://docs.google.com/spreadsheets/d/1C3CXT74ZlgGe6_JY_1olB1XN4rF0dxEuIIF-xsYjHgg/edit?usp=sharing"",""งบกองทุน!df93"")"),0)</f>
        <v>0</v>
      </c>
      <c r="K416" s="250">
        <f t="shared" si="83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285" t="s">
        <v>15</v>
      </c>
      <c r="I417" s="53">
        <v>0</v>
      </c>
      <c r="J417" s="393">
        <f ca="1">IFERROR(__xludf.DUMMYFUNCTION("IMPORTRANGE(""https://docs.google.com/spreadsheets/d/1C3CXT74ZlgGe6_JY_1olB1XN4rF0dxEuIIF-xsYjHgg/edit?usp=sharing"",""งบกองทุน!de93"")"),0)</f>
        <v>0</v>
      </c>
      <c r="K417" s="250">
        <f t="shared" si="83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310" t="s">
        <v>103</v>
      </c>
      <c r="I418" s="394">
        <f t="shared" ref="I418:I419" ca="1" si="92">J416</f>
        <v>0</v>
      </c>
      <c r="J418" s="394">
        <f t="shared" ref="J418:J419" si="93">SUM(J420,J422,J424)</f>
        <v>0</v>
      </c>
      <c r="K418" s="395">
        <f t="shared" ca="1" si="83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310" t="s">
        <v>15</v>
      </c>
      <c r="I419" s="394">
        <f t="shared" ca="1" si="92"/>
        <v>0</v>
      </c>
      <c r="J419" s="394">
        <f t="shared" si="93"/>
        <v>0</v>
      </c>
      <c r="K419" s="395">
        <f t="shared" ca="1" si="83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285" t="s">
        <v>103</v>
      </c>
      <c r="I420" s="53">
        <v>0</v>
      </c>
      <c r="J420" s="74">
        <v>0</v>
      </c>
      <c r="K420" s="54">
        <f t="shared" si="83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285" t="s">
        <v>15</v>
      </c>
      <c r="I421" s="53">
        <v>0</v>
      </c>
      <c r="J421" s="74">
        <v>0</v>
      </c>
      <c r="K421" s="54">
        <f t="shared" si="83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285" t="s">
        <v>103</v>
      </c>
      <c r="I422" s="53">
        <v>0</v>
      </c>
      <c r="J422" s="74">
        <v>0</v>
      </c>
      <c r="K422" s="54">
        <f t="shared" si="83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285" t="s">
        <v>15</v>
      </c>
      <c r="I423" s="53">
        <v>0</v>
      </c>
      <c r="J423" s="74">
        <v>0</v>
      </c>
      <c r="K423" s="54">
        <f t="shared" si="83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285" t="s">
        <v>103</v>
      </c>
      <c r="I424" s="53">
        <v>0</v>
      </c>
      <c r="J424" s="74">
        <v>0</v>
      </c>
      <c r="K424" s="54">
        <f t="shared" si="83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316" t="s">
        <v>15</v>
      </c>
      <c r="I425" s="396">
        <v>0</v>
      </c>
      <c r="J425" s="318">
        <v>0</v>
      </c>
      <c r="K425" s="319">
        <f t="shared" si="83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4">I440</f>
        <v>20</v>
      </c>
      <c r="J426" s="275">
        <f t="shared" si="94"/>
        <v>0</v>
      </c>
      <c r="K426" s="276">
        <f ca="1">IF(I426&gt;0,J426*100/I426,0)</f>
        <v>0</v>
      </c>
      <c r="L426" s="277">
        <f t="shared" ref="L426:M426" ca="1" si="95">SUM(L427:L428)</f>
        <v>32640</v>
      </c>
      <c r="M426" s="277">
        <f t="shared" si="95"/>
        <v>0</v>
      </c>
      <c r="N426" s="277">
        <f t="shared" ref="N426:N430" ca="1" si="96">+IF(L426&gt;0,M426*100/L426,0)</f>
        <v>0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6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7">SUM(L429:L430)</f>
        <v>32640</v>
      </c>
      <c r="M428" s="58">
        <f t="shared" si="97"/>
        <v>0</v>
      </c>
      <c r="N428" s="58">
        <f t="shared" ca="1" si="96"/>
        <v>0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IFERROR(__xludf.DUMMYFUNCTION("IMPORTRANGE(""https://docs.google.com/spreadsheets/d/1C3CXT74ZlgGe6_JY_1olB1XN4rF0dxEuIIF-xsYjHgg/edit?usp=sharing"",""งบกองทุน!dn93"")"),0)</f>
        <v>0</v>
      </c>
      <c r="M429" s="58">
        <v>0</v>
      </c>
      <c r="N429" s="58">
        <f t="shared" ca="1" si="96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IFERROR(__xludf.DUMMYFUNCTION("IMPORTRANGE(""https://docs.google.com/spreadsheets/d/1C3CXT74ZlgGe6_JY_1olB1XN4rF0dxEuIIF-xsYjHgg/edit?usp=sharing"",""งบกองทุน!do93"")"),32640)</f>
        <v>32640</v>
      </c>
      <c r="M430" s="58">
        <f>SUM(M431:M434)</f>
        <v>0</v>
      </c>
      <c r="N430" s="58">
        <f t="shared" ca="1" si="96"/>
        <v>0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0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0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IFERROR(__xludf.DUMMYFUNCTION("IMPORTRANGE(""https://docs.google.com/spreadsheets/d/1C3CXT74ZlgGe6_JY_1olB1XN4rF0dxEuIIF-xsYjHgg/edit?usp=sharing"",""งบกองทุน!dq93"")"),20)</f>
        <v>20</v>
      </c>
      <c r="J440" s="74">
        <v>0</v>
      </c>
      <c r="K440" s="54">
        <f t="shared" ref="K440:K441" ca="1" si="98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IFERROR(__xludf.DUMMYFUNCTION("IMPORTRANGE(""https://docs.google.com/spreadsheets/d/1C3CXT74ZlgGe6_JY_1olB1XN4rF0dxEuIIF-xsYjHgg/edit?usp=sharing"",""งบกองทุน!dr93"")"),20)</f>
        <v>20</v>
      </c>
      <c r="J441" s="74">
        <v>0</v>
      </c>
      <c r="K441" s="54">
        <f t="shared" ca="1" si="98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99">SUM(I453,I455)</f>
        <v>0</v>
      </c>
      <c r="J444" s="275">
        <f t="shared" si="99"/>
        <v>0</v>
      </c>
      <c r="K444" s="276">
        <f ca="1">IF(I444&gt;0,J444*100/I444,0)</f>
        <v>0</v>
      </c>
      <c r="L444" s="277">
        <f t="shared" ref="L444:M444" ca="1" si="100">SUM(L445:L446)</f>
        <v>0</v>
      </c>
      <c r="M444" s="277">
        <f t="shared" si="100"/>
        <v>0</v>
      </c>
      <c r="N444" s="277">
        <f t="shared" ref="N444:N448" ca="1" si="101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53" t="s">
        <v>21</v>
      </c>
      <c r="J445" s="53"/>
      <c r="K445" s="54"/>
      <c r="L445" s="55">
        <v>0</v>
      </c>
      <c r="M445" s="58">
        <v>0</v>
      </c>
      <c r="N445" s="58">
        <f t="shared" si="101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53"/>
      <c r="J446" s="53"/>
      <c r="K446" s="54"/>
      <c r="L446" s="55">
        <f t="shared" ref="L446:M446" ca="1" si="102">SUM(L447:L448)</f>
        <v>0</v>
      </c>
      <c r="M446" s="58">
        <f t="shared" si="102"/>
        <v>0</v>
      </c>
      <c r="N446" s="58">
        <f t="shared" ca="1" si="101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53"/>
      <c r="J447" s="53"/>
      <c r="K447" s="54"/>
      <c r="L447" s="58">
        <f ca="1">IFERROR(__xludf.DUMMYFUNCTION("IMPORTRANGE(""https://docs.google.com/spreadsheets/d/1C3CXT74ZlgGe6_JY_1olB1XN4rF0dxEuIIF-xsYjHgg/edit?usp=sharing"",""งบกองทุน!dt93"")"),0)</f>
        <v>0</v>
      </c>
      <c r="M447" s="58">
        <v>0</v>
      </c>
      <c r="N447" s="58">
        <f t="shared" ca="1" si="101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53"/>
      <c r="J448" s="53"/>
      <c r="K448" s="54"/>
      <c r="L448" s="58">
        <f ca="1">IFERROR(__xludf.DUMMYFUNCTION("IMPORTRANGE(""https://docs.google.com/spreadsheets/d/1C3CXT74ZlgGe6_JY_1olB1XN4rF0dxEuIIF-xsYjHgg/edit?usp=sharing"",""งบกองทุน!du93"")"),0)</f>
        <v>0</v>
      </c>
      <c r="M448" s="58">
        <f>SUM(M449:M452)</f>
        <v>0</v>
      </c>
      <c r="N448" s="58">
        <f t="shared" ca="1" si="101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53">
        <f ca="1">IFERROR(__xludf.DUMMYFUNCTION("IMPORTRANGE(""https://docs.google.com/spreadsheets/d/1C3CXT74ZlgGe6_JY_1olB1XN4rF0dxEuIIF-xsYjHgg/edit?usp=sharing"",""งบกองทุน!dw93"")"),0)</f>
        <v>0</v>
      </c>
      <c r="J453" s="73">
        <v>0</v>
      </c>
      <c r="K453" s="54">
        <f t="shared" ref="K453:K457" ca="1" si="103">IF(I453&gt;0,J453*100/I453,0)</f>
        <v>0</v>
      </c>
      <c r="L453" s="66"/>
      <c r="M453" s="58"/>
      <c r="N453" s="66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53">
        <f ca="1">IFERROR(__xludf.DUMMYFUNCTION("IMPORTRANGE(""https://docs.google.com/spreadsheets/d/1C3CXT74ZlgGe6_JY_1olB1XN4rF0dxEuIIF-xsYjHgg/edit?usp=sharing"",""งบกองทุน!dx93"")"),0)</f>
        <v>0</v>
      </c>
      <c r="J454" s="73">
        <v>0</v>
      </c>
      <c r="K454" s="54">
        <f t="shared" ca="1" si="103"/>
        <v>0</v>
      </c>
      <c r="L454" s="66"/>
      <c r="M454" s="66"/>
      <c r="N454" s="66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53">
        <f ca="1">IFERROR(__xludf.DUMMYFUNCTION("IMPORTRANGE(""https://docs.google.com/spreadsheets/d/1C3CXT74ZlgGe6_JY_1olB1XN4rF0dxEuIIF-xsYjHgg/edit?usp=sharing"",""งบกองทุน!dy93"")"),0)</f>
        <v>0</v>
      </c>
      <c r="J455" s="73">
        <v>0</v>
      </c>
      <c r="K455" s="54">
        <f t="shared" ca="1" si="103"/>
        <v>0</v>
      </c>
      <c r="L455" s="66"/>
      <c r="M455" s="66"/>
      <c r="N455" s="66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53">
        <f ca="1">IFERROR(__xludf.DUMMYFUNCTION("IMPORTRANGE(""https://docs.google.com/spreadsheets/d/1C3CXT74ZlgGe6_JY_1olB1XN4rF0dxEuIIF-xsYjHgg/edit?usp=sharing"",""งบกองทุน!dz93"")"),0)</f>
        <v>0</v>
      </c>
      <c r="J456" s="73">
        <v>0</v>
      </c>
      <c r="K456" s="54">
        <f t="shared" ca="1" si="103"/>
        <v>0</v>
      </c>
      <c r="L456" s="66"/>
      <c r="M456" s="66"/>
      <c r="N456" s="66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200</v>
      </c>
      <c r="J457" s="244">
        <f>+J466</f>
        <v>0</v>
      </c>
      <c r="K457" s="245">
        <f t="shared" ca="1" si="103"/>
        <v>0</v>
      </c>
      <c r="L457" s="246">
        <f t="shared" ref="L457:M457" ca="1" si="104">SUM(L458:L459)</f>
        <v>124480</v>
      </c>
      <c r="M457" s="246">
        <f t="shared" si="104"/>
        <v>0</v>
      </c>
      <c r="N457" s="246">
        <f t="shared" ref="N457:N461" ca="1" si="105">+IF(L457&gt;0,M457*100/L457,0)</f>
        <v>0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5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6">SUM(L460:L461)</f>
        <v>124480</v>
      </c>
      <c r="M459" s="58">
        <f t="shared" si="106"/>
        <v>0</v>
      </c>
      <c r="N459" s="58">
        <f t="shared" ca="1" si="105"/>
        <v>0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IFERROR(__xludf.DUMMYFUNCTION("IMPORTRANGE(""https://docs.google.com/spreadsheets/d/1C3CXT74ZlgGe6_JY_1olB1XN4rF0dxEuIIF-xsYjHgg/edit?usp=sharing"",""งบกองทุน!Eb93"")"),0)</f>
        <v>0</v>
      </c>
      <c r="M460" s="58">
        <v>0</v>
      </c>
      <c r="N460" s="58">
        <f t="shared" ca="1" si="105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IFERROR(__xludf.DUMMYFUNCTION("IMPORTRANGE(""https://docs.google.com/spreadsheets/d/1C3CXT74ZlgGe6_JY_1olB1XN4rF0dxEuIIF-xsYjHgg/edit?usp=sharing"",""งบกองทุน!Ec93"")"),124480)</f>
        <v>124480</v>
      </c>
      <c r="M461" s="58">
        <f>SUM(M462:M465)</f>
        <v>0</v>
      </c>
      <c r="N461" s="58">
        <f t="shared" ca="1" si="105"/>
        <v>0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IFERROR(__xludf.DUMMYFUNCTION("IMPORTRANGE(""https://docs.google.com/spreadsheets/d/1C3CXT74ZlgGe6_JY_1olB1XN4rF0dxEuIIF-xsYjHgg/edit?usp=sharing"",""งบกองทุน!Ed93"")"),200)</f>
        <v>200</v>
      </c>
      <c r="J466" s="283">
        <f>+J469+J470+J471+J472</f>
        <v>0</v>
      </c>
      <c r="K466" s="85">
        <f ca="1">IF(I466&gt;0,J466*100/I466,0)</f>
        <v>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7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7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0</v>
      </c>
      <c r="K470" s="54">
        <f t="shared" si="107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7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8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53" t="s">
        <v>21</v>
      </c>
      <c r="J474" s="53"/>
      <c r="K474" s="54"/>
      <c r="L474" s="55">
        <v>0</v>
      </c>
      <c r="M474" s="58">
        <v>0</v>
      </c>
      <c r="N474" s="58">
        <f t="shared" si="108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53"/>
      <c r="J475" s="53"/>
      <c r="K475" s="54"/>
      <c r="L475" s="55">
        <f t="shared" ref="L475:M475" ca="1" si="109">SUM(L476:L477)</f>
        <v>0</v>
      </c>
      <c r="M475" s="58">
        <f t="shared" si="109"/>
        <v>0</v>
      </c>
      <c r="N475" s="58">
        <f t="shared" ca="1" si="108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53"/>
      <c r="J476" s="53"/>
      <c r="K476" s="54"/>
      <c r="L476" s="58">
        <f ca="1">IFERROR(__xludf.DUMMYFUNCTION("IMPORTRANGE(""https://docs.google.com/spreadsheets/d/1C3CXT74ZlgGe6_JY_1olB1XN4rF0dxEuIIF-xsYjHgg/edit?usp=sharing"",""งบกองทุน!Ek93"")"),0)</f>
        <v>0</v>
      </c>
      <c r="M476" s="58">
        <v>0</v>
      </c>
      <c r="N476" s="58">
        <f t="shared" ca="1" si="108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53"/>
      <c r="J477" s="53"/>
      <c r="K477" s="54"/>
      <c r="L477" s="58">
        <f ca="1">IFERROR(__xludf.DUMMYFUNCTION("IMPORTRANGE(""https://docs.google.com/spreadsheets/d/1C3CXT74ZlgGe6_JY_1olB1XN4rF0dxEuIIF-xsYjHgg/edit?usp=sharing"",""งบกองทุน!El93"")"),0)</f>
        <v>0</v>
      </c>
      <c r="M477" s="58">
        <f>SUM(M478:M481)</f>
        <v>0</v>
      </c>
      <c r="N477" s="58">
        <f t="shared" ca="1" si="108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IFERROR(__xludf.DUMMYFUNCTION("IMPORTRANGE(""https://docs.google.com/spreadsheets/d/1C3CXT74ZlgGe6_JY_1olB1XN4rF0dxEuIIF-xsYjHgg/edit?usp=sharing"",""งบกองทุน!Em93"")"),0)</f>
        <v>0</v>
      </c>
      <c r="J482" s="73">
        <f ca="1">IFERROR(__xludf.DUMMYFUNCTION("IMPORTRANGE(""https://docs.google.com/spreadsheets/d/1AGHcLOeeYFL3K4b9R1dSzyJy00PE_ra89DNTVfnxSWM/edit?usp=sharing"",""รวมที่ชุมชน!G82"")"),0)</f>
        <v>0</v>
      </c>
      <c r="K482" s="54">
        <f t="shared" ref="K482:K489" ca="1" si="110">IF(I482&gt;0,J482*100/I482,0)</f>
        <v>0</v>
      </c>
      <c r="L482" s="66"/>
      <c r="M482" s="66"/>
      <c r="N482" s="66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IFERROR(__xludf.DUMMYFUNCTION("IMPORTRANGE(""https://docs.google.com/spreadsheets/d/1AGHcLOeeYFL3K4b9R1dSzyJy00PE_ra89DNTVfnxSWM/edit?usp=sharing"",""รวมที่ชุมชน!H82"")"),0)</f>
        <v>0</v>
      </c>
      <c r="K483" s="54">
        <f t="shared" si="110"/>
        <v>0</v>
      </c>
      <c r="L483" s="66"/>
      <c r="M483" s="66"/>
      <c r="N483" s="66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IFERROR(__xludf.DUMMYFUNCTION("IMPORTRANGE(""https://docs.google.com/spreadsheets/d/1C3CXT74ZlgGe6_JY_1olB1XN4rF0dxEuIIF-xsYjHgg/edit?usp=sharing"",""งบกองทุน!Eo93"")"),0)</f>
        <v>0</v>
      </c>
      <c r="J484" s="73">
        <f ca="1">IFERROR(__xludf.DUMMYFUNCTION("IMPORTRANGE(""https://docs.google.com/spreadsheets/d/1AGHcLOeeYFL3K4b9R1dSzyJy00PE_ra89DNTVfnxSWM/edit?usp=sharing"",""รวมที่ชุมชน!J82"")"),0)</f>
        <v>0</v>
      </c>
      <c r="K484" s="54">
        <f t="shared" ca="1" si="110"/>
        <v>0</v>
      </c>
      <c r="L484" s="66"/>
      <c r="M484" s="66"/>
      <c r="N484" s="66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IFERROR(__xludf.DUMMYFUNCTION("IMPORTRANGE(""https://docs.google.com/spreadsheets/d/1AGHcLOeeYFL3K4b9R1dSzyJy00PE_ra89DNTVfnxSWM/edit?usp=sharing"",""รวมที่ชุมชน!L82"")"),0)</f>
        <v>0</v>
      </c>
      <c r="K485" s="54">
        <f t="shared" si="110"/>
        <v>0</v>
      </c>
      <c r="L485" s="66"/>
      <c r="M485" s="66"/>
      <c r="N485" s="66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IFERROR(__xludf.DUMMYFUNCTION("IMPORTRANGE(""https://docs.google.com/spreadsheets/d/1C3CXT74ZlgGe6_JY_1olB1XN4rF0dxEuIIF-xsYjHgg/edit?usp=sharing"",""งบกองทุน!Eq93"")"),0)</f>
        <v>0</v>
      </c>
      <c r="J486" s="73">
        <f ca="1">IFERROR(__xludf.DUMMYFUNCTION("IMPORTRANGE(""https://docs.google.com/spreadsheets/d/1AGHcLOeeYFL3K4b9R1dSzyJy00PE_ra89DNTVfnxSWM/edit?usp=sharing"",""รวมที่ชุมชน!S82"")"),0)</f>
        <v>0</v>
      </c>
      <c r="K486" s="54">
        <f t="shared" ca="1" si="110"/>
        <v>0</v>
      </c>
      <c r="L486" s="66"/>
      <c r="M486" s="66"/>
      <c r="N486" s="66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IFERROR(__xludf.DUMMYFUNCTION("IMPORTRANGE(""https://docs.google.com/spreadsheets/d/1AGHcLOeeYFL3K4b9R1dSzyJy00PE_ra89DNTVfnxSWM/edit?usp=sharing"",""รวมที่ชุมชน!U82"")"),0)</f>
        <v>0</v>
      </c>
      <c r="K487" s="54">
        <f t="shared" si="110"/>
        <v>0</v>
      </c>
      <c r="L487" s="66"/>
      <c r="M487" s="66"/>
      <c r="N487" s="66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IFERROR(__xludf.DUMMYFUNCTION("IMPORTRANGE(""https://docs.google.com/spreadsheets/d/1C3CXT74ZlgGe6_JY_1olB1XN4rF0dxEuIIF-xsYjHgg/edit?usp=sharing"",""งบกองทุน!Es93"")"),0)</f>
        <v>0</v>
      </c>
      <c r="J488" s="73">
        <f ca="1">IFERROR(__xludf.DUMMYFUNCTION("IMPORTRANGE(""https://docs.google.com/spreadsheets/d/1AGHcLOeeYFL3K4b9R1dSzyJy00PE_ra89DNTVfnxSWM/edit?usp=sharing"",""รวมที่ชุมชน!V82"")"),0)</f>
        <v>0</v>
      </c>
      <c r="K488" s="54">
        <f t="shared" ca="1" si="110"/>
        <v>0</v>
      </c>
      <c r="L488" s="66"/>
      <c r="M488" s="66"/>
      <c r="N488" s="66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IFERROR(__xludf.DUMMYFUNCTION("IMPORTRANGE(""https://docs.google.com/spreadsheets/d/1AGHcLOeeYFL3K4b9R1dSzyJy00PE_ra89DNTVfnxSWM/edit?usp=sharing"",""รวมที่ชุมชน!X82"")"),0)</f>
        <v>0</v>
      </c>
      <c r="K489" s="122">
        <f t="shared" si="110"/>
        <v>0</v>
      </c>
      <c r="L489" s="320"/>
      <c r="M489" s="320"/>
      <c r="N489" s="320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1">I504</f>
        <v>100</v>
      </c>
      <c r="J490" s="321">
        <f t="shared" si="111"/>
        <v>0</v>
      </c>
      <c r="K490" s="343">
        <f ca="1">IF(I490&gt;0,J490*100/I490,0)</f>
        <v>0</v>
      </c>
      <c r="L490" s="277">
        <f ca="1">SUM(L491,L492)</f>
        <v>8100</v>
      </c>
      <c r="M490" s="277">
        <f>SUM(M491:M492)</f>
        <v>0</v>
      </c>
      <c r="N490" s="277">
        <f t="shared" ref="N490:N494" ca="1" si="112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2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3">SUM(L493:L494)</f>
        <v>8100</v>
      </c>
      <c r="M492" s="58">
        <f t="shared" si="113"/>
        <v>0</v>
      </c>
      <c r="N492" s="58">
        <f t="shared" ca="1" si="112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IFERROR(__xludf.DUMMYFUNCTION("IMPORTRANGE(""https://docs.google.com/spreadsheets/d/1C3CXT74ZlgGe6_JY_1olB1XN4rF0dxEuIIF-xsYjHgg/edit?usp=sharing"",""งบกองทุน!Ev93"")"),0)</f>
        <v>0</v>
      </c>
      <c r="M493" s="58">
        <v>0</v>
      </c>
      <c r="N493" s="58">
        <f t="shared" ca="1" si="112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IFERROR(__xludf.DUMMYFUNCTION("IMPORTRANGE(""https://docs.google.com/spreadsheets/d/1C3CXT74ZlgGe6_JY_1olB1XN4rF0dxEuIIF-xsYjHgg/edit?usp=sharing"",""งบกองทุน!Ew93"")"),8100)</f>
        <v>8100</v>
      </c>
      <c r="M494" s="58">
        <f>SUM(M495:M498)</f>
        <v>0</v>
      </c>
      <c r="N494" s="58">
        <f t="shared" ca="1" si="112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0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IFERROR(__xludf.DUMMYFUNCTION("IMPORTRANGE(""https://docs.google.com/spreadsheets/d/1C3CXT74ZlgGe6_JY_1olB1XN4rF0dxEuIIF-xsYjHgg/edit?usp=sharing"",""งบกองทุน!EZ93"")"),100)</f>
        <v>100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4">I511+I512</f>
        <v>0</v>
      </c>
      <c r="J510" s="73">
        <f t="shared" si="114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IFERROR(__xludf.DUMMYFUNCTION("IMPORTRANGE(""https://docs.google.com/spreadsheets/d/1C3CXT74ZlgGe6_JY_1olB1XN4rF0dxEuIIF-xsYjHgg/edit?usp=sharing"",""งบกองทุน!ff93"")"),0)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5">I515+I516</f>
        <v>0</v>
      </c>
      <c r="J514" s="53">
        <f t="shared" si="115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6">SUM(I518:I519)</f>
        <v>0</v>
      </c>
      <c r="J517" s="73">
        <f t="shared" si="116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IFERROR(__xludf.DUMMYFUNCTION("IMPORTRANGE(""https://docs.google.com/spreadsheets/d/1muirlRDkqiswvy_NRZ3Yh955hx-PF6_HhssUYiSJj8o/edit?usp=sharing"",""กองทุน!D93"")"),298824.87)</f>
        <v>298824.87</v>
      </c>
      <c r="J521" s="214">
        <f ca="1">IFERROR(__xludf.DUMMYFUNCTION("IMPORTRANGE(""https://docs.google.com/spreadsheets/d/1muirlRDkqiswvy_NRZ3Yh955hx-PF6_HhssUYiSJj8o/edit?usp=sharing"",""กองทุน!F93"")"),0)</f>
        <v>0</v>
      </c>
      <c r="K521" s="215">
        <f t="shared" ref="K521:K528" ca="1" si="117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IFERROR(__xludf.DUMMYFUNCTION("IMPORTRANGE(""https://docs.google.com/spreadsheets/d/1muirlRDkqiswvy_NRZ3Yh955hx-PF6_HhssUYiSJj8o/edit?usp=sharing"",""กองทุน!C93"")"),36)</f>
        <v>36</v>
      </c>
      <c r="J522" s="214">
        <f ca="1">IFERROR(__xludf.DUMMYFUNCTION("IMPORTRANGE(""https://docs.google.com/spreadsheets/d/1muirlRDkqiswvy_NRZ3Yh955hx-PF6_HhssUYiSJj8o/edit?usp=sharing"",""กองทุน!E93"")"),0)</f>
        <v>0</v>
      </c>
      <c r="K522" s="215">
        <f t="shared" ca="1" si="117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IFERROR(__xludf.DUMMYFUNCTION("IMPORTRANGE(""https://docs.google.com/spreadsheets/d/1muirlRDkqiswvy_NRZ3Yh955hx-PF6_HhssUYiSJj8o/edit?usp=sharing"",""กองทุน!I93"")"),12403)</f>
        <v>12403</v>
      </c>
      <c r="J523" s="214">
        <f ca="1">IFERROR(__xludf.DUMMYFUNCTION("IMPORTRANGE(""https://docs.google.com/spreadsheets/d/1muirlRDkqiswvy_NRZ3Yh955hx-PF6_HhssUYiSJj8o/edit?usp=sharing"",""กองทุน!K93"")"),3346)</f>
        <v>3346</v>
      </c>
      <c r="K523" s="215">
        <f t="shared" ca="1" si="117"/>
        <v>26.977344190921553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IFERROR(__xludf.DUMMYFUNCTION("IMPORTRANGE(""https://docs.google.com/spreadsheets/d/1muirlRDkqiswvy_NRZ3Yh955hx-PF6_HhssUYiSJj8o/edit?usp=sharing"",""กองทุน!H93"")"),1)</f>
        <v>1</v>
      </c>
      <c r="J524" s="214">
        <f ca="1">IFERROR(__xludf.DUMMYFUNCTION("IMPORTRANGE(""https://docs.google.com/spreadsheets/d/1muirlRDkqiswvy_NRZ3Yh955hx-PF6_HhssUYiSJj8o/edit?usp=sharing"",""กองทุน!J93"")"),2)</f>
        <v>2</v>
      </c>
      <c r="K524" s="215">
        <f t="shared" ca="1" si="117"/>
        <v>200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IFERROR(__xludf.DUMMYFUNCTION("IMPORTRANGE(""https://docs.google.com/spreadsheets/d/1muirlRDkqiswvy_NRZ3Yh955hx-PF6_HhssUYiSJj8o/edit?usp=sharing"",""กองทุน!N93"")"),0)</f>
        <v>0</v>
      </c>
      <c r="J525" s="214">
        <f ca="1">IFERROR(__xludf.DUMMYFUNCTION("IMPORTRANGE(""https://docs.google.com/spreadsheets/d/1muirlRDkqiswvy_NRZ3Yh955hx-PF6_HhssUYiSJj8o/edit?usp=sharing"",""กองทุน!P93"")"),0)</f>
        <v>0</v>
      </c>
      <c r="K525" s="215">
        <f t="shared" ca="1" si="117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IFERROR(__xludf.DUMMYFUNCTION("IMPORTRANGE(""https://docs.google.com/spreadsheets/d/1muirlRDkqiswvy_NRZ3Yh955hx-PF6_HhssUYiSJj8o/edit?usp=sharing"",""กองทุน!M93"")"),0)</f>
        <v>0</v>
      </c>
      <c r="J526" s="214">
        <f ca="1">IFERROR(__xludf.DUMMYFUNCTION("IMPORTRANGE(""https://docs.google.com/spreadsheets/d/1muirlRDkqiswvy_NRZ3Yh955hx-PF6_HhssUYiSJj8o/edit?usp=sharing"",""กองทุน!O93"")"),0)</f>
        <v>0</v>
      </c>
      <c r="K526" s="215">
        <f t="shared" ca="1" si="117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IFERROR(__xludf.DUMMYFUNCTION("IMPORTRANGE(""https://docs.google.com/spreadsheets/d/1muirlRDkqiswvy_NRZ3Yh955hx-PF6_HhssUYiSJj8o/edit?usp=sharing"",""กองทุน!S93"")"),270000)</f>
        <v>270000</v>
      </c>
      <c r="J527" s="214">
        <f ca="1">IFERROR(__xludf.DUMMYFUNCTION("IMPORTRANGE(""https://docs.google.com/spreadsheets/d/1muirlRDkqiswvy_NRZ3Yh955hx-PF6_HhssUYiSJj8o/edit?usp=sharing"",""กองทุน!U93"")"),0)</f>
        <v>0</v>
      </c>
      <c r="K527" s="215">
        <f t="shared" ca="1" si="117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IFERROR(__xludf.DUMMYFUNCTION("IMPORTRANGE(""https://docs.google.com/spreadsheets/d/1muirlRDkqiswvy_NRZ3Yh955hx-PF6_HhssUYiSJj8o/edit?usp=sharing"",""กองทุน!R93"")"),9)</f>
        <v>9</v>
      </c>
      <c r="J528" s="342">
        <f ca="1">IFERROR(__xludf.DUMMYFUNCTION("IMPORTRANGE(""https://docs.google.com/spreadsheets/d/1muirlRDkqiswvy_NRZ3Yh955hx-PF6_HhssUYiSJj8o/edit?usp=sharing"",""กองทุน!T93"")"),0)</f>
        <v>0</v>
      </c>
      <c r="K528" s="370">
        <f t="shared" ca="1" si="117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J8" sqref="J8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234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2845570</v>
      </c>
      <c r="M6" s="18">
        <f t="shared" si="0"/>
        <v>280683.11</v>
      </c>
      <c r="N6" s="19">
        <f ca="1">IF(L6&gt;0,M6*100/L6,0)</f>
        <v>9.8638624247514564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IFERROR(__xludf.DUMMYFUNCTION("IMPORTRANGE(""https://docs.google.com/spreadsheets/d/1C3CXT74ZlgGe6_JY_1olB1XN4rF0dxEuIIF-xsYjHgg/edit?usp=sharing"",""พรบ!C94"")"),0)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IFERROR(__xludf.DUMMYFUNCTION("IMPORTRANGE(""https://docs.google.com/spreadsheets/d/1C3CXT74ZlgGe6_JY_1olB1XN4rF0dxEuIIF-xsYjHgg/edit?usp=sharing"",""พรบ!D94"")"),0)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IFERROR(__xludf.DUMMYFUNCTION("IMPORTRANGE(""https://docs.google.com/spreadsheets/d/1C3CXT74ZlgGe6_JY_1olB1XN4rF0dxEuIIF-xsYjHgg/edit?usp=sharing"",""พรบ!E94"")"),0)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IFERROR(__xludf.DUMMYFUNCTION("IMPORTRANGE(""https://docs.google.com/spreadsheets/d/1C3CXT74ZlgGe6_JY_1olB1XN4rF0dxEuIIF-xsYjHgg/edit?usp=sharing"",""พรบ!H94"")"),0)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IFERROR(__xludf.DUMMYFUNCTION("IMPORTRANGE(""https://docs.google.com/spreadsheets/d/1C3CXT74ZlgGe6_JY_1olB1XN4rF0dxEuIIF-xsYjHgg/edit?usp=sharing"",""พรบ!I94"")"),0)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IFERROR(__xludf.DUMMYFUNCTION("IMPORTRANGE(""https://docs.google.com/spreadsheets/d/1C3CXT74ZlgGe6_JY_1olB1XN4rF0dxEuIIF-xsYjHgg/edit?usp=sharing"",""พรบ!J94"")"),0)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IFERROR(__xludf.DUMMYFUNCTION("IMPORTRANGE(""https://docs.google.com/spreadsheets/d/1C3CXT74ZlgGe6_JY_1olB1XN4rF0dxEuIIF-xsYjHgg/edit?usp=sharing"",""พรบ!K94"")"),0)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IFERROR(__xludf.DUMMYFUNCTION("IMPORTRANGE(""https://docs.google.com/spreadsheets/d/1C3CXT74ZlgGe6_JY_1olB1XN4rF0dxEuIIF-xsYjHgg/edit?usp=sharing"",""พรบ!L94"")"),0)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IFERROR(__xludf.DUMMYFUNCTION("IMPORTRANGE(""https://docs.google.com/spreadsheets/d/1C3CXT74ZlgGe6_JY_1olB1XN4rF0dxEuIIF-xsYjHgg/edit?usp=sharing"",""พรบ!M94"")"),0)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IFERROR(__xludf.DUMMYFUNCTION("IMPORTRANGE(""https://docs.google.com/spreadsheets/d/1C3CXT74ZlgGe6_JY_1olB1XN4rF0dxEuIIF-xsYjHgg/edit?usp=sharing"",""พรบ!N94"")"),0)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IFERROR(__xludf.DUMMYFUNCTION("IMPORTRANGE(""https://docs.google.com/spreadsheets/d/1C3CXT74ZlgGe6_JY_1olB1XN4rF0dxEuIIF-xsYjHgg/edit?usp=sharing"",""พรบ!O94"")"),0)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IFERROR(__xludf.DUMMYFUNCTION("IMPORTRANGE(""https://docs.google.com/spreadsheets/d/1C3CXT74ZlgGe6_JY_1olB1XN4rF0dxEuIIF-xsYjHgg/edit?usp=sharing"",""พรบ!P94"")"),0)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IFERROR(__xludf.DUMMYFUNCTION("IMPORTRANGE(""https://docs.google.com/spreadsheets/d/1C3CXT74ZlgGe6_JY_1olB1XN4rF0dxEuIIF-xsYjHgg/edit?usp=sharing"",""พรบ!Q94"")"),0)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IFERROR(__xludf.DUMMYFUNCTION("IMPORTRANGE(""https://docs.google.com/spreadsheets/d/1C3CXT74ZlgGe6_JY_1olB1XN4rF0dxEuIIF-xsYjHgg/edit?usp=sharing"",""พรบ!R94"")"),0)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IFERROR(__xludf.DUMMYFUNCTION("IMPORTRANGE(""https://docs.google.com/spreadsheets/d/1C3CXT74ZlgGe6_JY_1olB1XN4rF0dxEuIIF-xsYjHgg/edit?usp=sharing"",""พรบ!S94"")"),0)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IFERROR(__xludf.DUMMYFUNCTION("IMPORTRANGE(""https://docs.google.com/spreadsheets/d/1C3CXT74ZlgGe6_JY_1olB1XN4rF0dxEuIIF-xsYjHgg/edit?usp=sharing"",""พรบ!T94"")"),0)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IFERROR(__xludf.DUMMYFUNCTION("IMPORTRANGE(""https://docs.google.com/spreadsheets/d/1C3CXT74ZlgGe6_JY_1olB1XN4rF0dxEuIIF-xsYjHgg/edit?usp=sharing"",""พรบ!U94"")"),0)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IFERROR(__xludf.DUMMYFUNCTION("IMPORTRANGE(""https://docs.google.com/spreadsheets/d/1C3CXT74ZlgGe6_JY_1olB1XN4rF0dxEuIIF-xsYjHgg/edit?usp=sharing"",""พรบ!V94"")"),0)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IFERROR(__xludf.DUMMYFUNCTION("IMPORTRANGE(""https://docs.google.com/spreadsheets/d/1C3CXT74ZlgGe6_JY_1olB1XN4rF0dxEuIIF-xsYjHgg/edit?usp=sharing"",""พรบ!W94"")"),0)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15</v>
      </c>
      <c r="J52" s="43">
        <f>+J62</f>
        <v>0</v>
      </c>
      <c r="K52" s="44">
        <f ca="1">IF(I52&gt;0,J52*100/I52,0)</f>
        <v>0</v>
      </c>
      <c r="L52" s="45">
        <f ca="1">L53+L54</f>
        <v>64890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IFERROR(__xludf.DUMMYFUNCTION("IMPORTRANGE(""https://docs.google.com/spreadsheets/d/1C3CXT74ZlgGe6_JY_1olB1XN4rF0dxEuIIF-xsYjHgg/edit?usp=sharing"",""พรบ!Y94"")"),0)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IFERROR(__xludf.DUMMYFUNCTION("IMPORTRANGE(""https://docs.google.com/spreadsheets/d/1C3CXT74ZlgGe6_JY_1olB1XN4rF0dxEuIIF-xsYjHgg/edit?usp=sharing"",""พรบ!Z94"")"),64890)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4">
        <v>1</v>
      </c>
      <c r="K60" s="54"/>
      <c r="L60" s="66"/>
      <c r="M60" s="66"/>
      <c r="N60" s="66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4">
        <v>1</v>
      </c>
      <c r="K61" s="54"/>
      <c r="L61" s="66"/>
      <c r="M61" s="66"/>
      <c r="N61" s="66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IFERROR(__xludf.DUMMYFUNCTION("IMPORTRANGE(""https://docs.google.com/spreadsheets/d/1C3CXT74ZlgGe6_JY_1olB1XN4rF0dxEuIIF-xsYjHgg/edit?usp=sharing"",""พรบ!AA94"")"),15)</f>
        <v>15</v>
      </c>
      <c r="J62" s="74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15</v>
      </c>
      <c r="J63" s="74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4"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57000</v>
      </c>
      <c r="M68" s="150">
        <f t="shared" si="16"/>
        <v>2520</v>
      </c>
      <c r="N68" s="149">
        <f ca="1">IF(L68&gt;0,M68*100/L68,0)</f>
        <v>4.4210526315789478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57000</v>
      </c>
      <c r="M71" s="151">
        <f>SUM(M72:M73)</f>
        <v>2520</v>
      </c>
      <c r="N71" s="55">
        <f t="shared" ca="1" si="17"/>
        <v>4.4210526315789478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IFERROR(__xludf.DUMMYFUNCTION("IMPORTRANGE(""https://docs.google.com/spreadsheets/d/1C3CXT74ZlgGe6_JY_1olB1XN4rF0dxEuIIF-xsYjHgg/edit?usp=sharing"",""พรบ!AD94"")"),0)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57000</v>
      </c>
      <c r="M73" s="58">
        <f t="shared" si="18"/>
        <v>2520</v>
      </c>
      <c r="N73" s="58">
        <f t="shared" ca="1" si="17"/>
        <v>4.4210526315789478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1</v>
      </c>
      <c r="K74" s="158">
        <f ca="1">IF(I74&gt;0,J74*100/I74,0)</f>
        <v>25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IFERROR(__xludf.DUMMYFUNCTION("IMPORTRANGE(""https://docs.google.com/spreadsheets/d/1C3CXT74ZlgGe6_JY_1olB1XN4rF0dxEuIIF-xsYjHgg/edit?usp=sharing"",""พรบ!AF94"")"),7500)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0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IFERROR(__xludf.DUMMYFUNCTION("IMPORTRANGE(""https://docs.google.com/spreadsheets/d/1C3CXT74ZlgGe6_JY_1olB1XN4rF0dxEuIIF-xsYjHgg/edit?usp=sharing"",""พรบ!AG94"")"),4)</f>
        <v>4</v>
      </c>
      <c r="J83" s="74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3</v>
      </c>
      <c r="J89" s="161">
        <f t="shared" si="21"/>
        <v>0</v>
      </c>
      <c r="K89" s="162">
        <f ca="1">IF(I89&gt;0,J89*100/I89,0)</f>
        <v>0</v>
      </c>
      <c r="L89" s="159">
        <f ca="1">L90+L91</f>
        <v>42000</v>
      </c>
      <c r="M89" s="159">
        <f>SUM(M90:M91)</f>
        <v>2520</v>
      </c>
      <c r="N89" s="159">
        <f t="shared" ref="N89:N92" ca="1" si="22">+IF(L89&gt;0,M89*100/L89,0)</f>
        <v>6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2520</v>
      </c>
      <c r="N91" s="55">
        <f t="shared" ca="1" si="22"/>
        <v>6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IFERROR(__xludf.DUMMYFUNCTION("IMPORTRANGE(""https://docs.google.com/spreadsheets/d/1C3CXT74ZlgGe6_JY_1olB1XN4rF0dxEuIIF-xsYjHgg/edit?usp=sharing"",""พรบ!AH94"")"),42000)</f>
        <v>42000</v>
      </c>
      <c r="M92" s="59">
        <v>2520</v>
      </c>
      <c r="N92" s="58">
        <f t="shared" ca="1" si="22"/>
        <v>6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1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0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0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IFERROR(__xludf.DUMMYFUNCTION("IMPORTRANGE(""https://docs.google.com/spreadsheets/d/1C3CXT74ZlgGe6_JY_1olB1XN4rF0dxEuIIF-xsYjHgg/edit?usp=sharing"",""พรบ!AI94"")"),3)</f>
        <v>3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IFERROR(__xludf.DUMMYFUNCTION("IMPORTRANGE(""https://docs.google.com/spreadsheets/d/1C3CXT74ZlgGe6_JY_1olB1XN4rF0dxEuIIF-xsYjHgg/edit?usp=sharing"",""กปร!C94"")"),36000)</f>
        <v>36000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IFERROR(__xludf.DUMMYFUNCTION("IMPORTRANGE(""https://docs.google.com/spreadsheets/d/1C3CXT74ZlgGe6_JY_1olB1XN4rF0dxEuIIF-xsYjHgg/edit?usp=sharing"",""พรบ!AJ94"")"),0)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IFERROR(__xludf.DUMMYFUNCTION("IMPORTRANGE(""https://docs.google.com/spreadsheets/d/1C3CXT74ZlgGe6_JY_1olB1XN4rF0dxEuIIF-xsYjHgg/edit?usp=sharing"",""พรบ!AK94"")"),0)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IFERROR(__xludf.DUMMYFUNCTION("IMPORTRANGE(""https://docs.google.com/spreadsheets/d/1C3CXT74ZlgGe6_JY_1olB1XN4rF0dxEuIIF-xsYjHgg/edit?usp=sharing"",""กปร!D94"")"),0)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IFERROR(__xludf.DUMMYFUNCTION("IMPORTRANGE(""https://docs.google.com/spreadsheets/d/1C3CXT74ZlgGe6_JY_1olB1XN4rF0dxEuIIF-xsYjHgg/edit?usp=sharing"",""พรบ!AL94"")"),0)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IFERROR(__xludf.DUMMYFUNCTION("IMPORTRANGE(""https://docs.google.com/spreadsheets/d/1C3CXT74ZlgGe6_JY_1olB1XN4rF0dxEuIIF-xsYjHgg/edit?usp=sharing"",""กปร!E94"")"),0)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7500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IFERROR(__xludf.DUMMYFUNCTION("IMPORTRANGE(""https://docs.google.com/spreadsheets/d/1C3CXT74ZlgGe6_JY_1olB1XN4rF0dxEuIIF-xsYjHgg/edit?usp=sharing"",""พรบ!AM94"")"),7500)</f>
        <v>7500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IFERROR(__xludf.DUMMYFUNCTION("IMPORTRANGE(""https://docs.google.com/spreadsheets/d/1C3CXT74ZlgGe6_JY_1olB1XN4rF0dxEuIIF-xsYjHgg/edit?usp=sharing"",""พรบ!AO94"")"),10000)</f>
        <v>10000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IFERROR(__xludf.DUMMYFUNCTION("IMPORTRANGE(""https://docs.google.com/spreadsheets/d/1C3CXT74ZlgGe6_JY_1olB1XN4rF0dxEuIIF-xsYjHgg/edit?usp=sharing"",""พรบ!AP94"")"),10000)</f>
        <v>10000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IFERROR(__xludf.DUMMYFUNCTION("IMPORTRANGE(""https://docs.google.com/spreadsheets/d/1C3CXT74ZlgGe6_JY_1olB1XN4rF0dxEuIIF-xsYjHgg/edit?usp=sharing"",""กปร!F94"")"),3500)</f>
        <v>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IFERROR(__xludf.DUMMYFUNCTION("IMPORTRANGE(""https://docs.google.com/spreadsheets/d/1C3CXT74ZlgGe6_JY_1olB1XN4rF0dxEuIIF-xsYjHgg/edit?usp=sharing"",""พรบ!AQ94"")"),0)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IFERROR(__xludf.DUMMYFUNCTION("IMPORTRANGE(""https://docs.google.com/spreadsheets/d/1C3CXT74ZlgGe6_JY_1olB1XN4rF0dxEuIIF-xsYjHgg/edit?usp=sharing"",""กปร!G94"")"),0)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IFERROR(__xludf.DUMMYFUNCTION("IMPORTRANGE(""https://docs.google.com/spreadsheets/d/1C3CXT74ZlgGe6_JY_1olB1XN4rF0dxEuIIF-xsYjHgg/edit?usp=sharing"",""พรบ!AR94"")"),0)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IFERROR(__xludf.DUMMYFUNCTION("IMPORTRANGE(""https://docs.google.com/spreadsheets/d/1C3CXT74ZlgGe6_JY_1olB1XN4rF0dxEuIIF-xsYjHgg/edit?usp=sharing"",""พรบ!AS94"")"),0)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IFERROR(__xludf.DUMMYFUNCTION("IMPORTRANGE(""https://docs.google.com/spreadsheets/d/1C3CXT74ZlgGe6_JY_1olB1XN4rF0dxEuIIF-xsYjHgg/edit?usp=sharing"",""กปร!H94"")"),0)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IFERROR(__xludf.DUMMYFUNCTION("IMPORTRANGE(""https://docs.google.com/spreadsheets/d/1C3CXT74ZlgGe6_JY_1olB1XN4rF0dxEuIIF-xsYjHgg/edit?usp=sharing"",""พรบ!AT94"")"),0)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IFERROR(__xludf.DUMMYFUNCTION("IMPORTRANGE(""https://docs.google.com/spreadsheets/d/1C3CXT74ZlgGe6_JY_1olB1XN4rF0dxEuIIF-xsYjHgg/edit?usp=sharing"",""กปร!I94"")"),0)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IFERROR(__xludf.DUMMYFUNCTION("IMPORTRANGE(""https://docs.google.com/spreadsheets/d/1C3CXT74ZlgGe6_JY_1olB1XN4rF0dxEuIIF-xsYjHgg/edit?usp=sharing"",""พรบ!AU94"")"),0)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IFERROR(__xludf.DUMMYFUNCTION("IMPORTRANGE(""https://docs.google.com/spreadsheets/d/1C3CXT74ZlgGe6_JY_1olB1XN4rF0dxEuIIF-xsYjHgg/edit?usp=sharing"",""กปร!J94"")"),0)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14</v>
      </c>
      <c r="J144" s="148">
        <f t="shared" si="36"/>
        <v>14</v>
      </c>
      <c r="K144" s="149">
        <f ca="1">IF(I144&gt;0,J144*100/I144,0)</f>
        <v>100</v>
      </c>
      <c r="L144" s="150">
        <f ca="1">L145+L146</f>
        <v>20210</v>
      </c>
      <c r="M144" s="150">
        <f>SUM(M145:M146)</f>
        <v>20210</v>
      </c>
      <c r="N144" s="149">
        <f ca="1">IF(L144&gt;0,M144*100/L144,0)</f>
        <v>100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20210</v>
      </c>
      <c r="N146" s="55">
        <f t="shared" ca="1" si="37"/>
        <v>100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IFERROR(__xludf.DUMMYFUNCTION("IMPORTRANGE(""https://docs.google.com/spreadsheets/d/1C3CXT74ZlgGe6_JY_1olB1XN4rF0dxEuIIF-xsYjHgg/edit?usp=sharing"",""พรบ!AY94"")"),20210)</f>
        <v>20210</v>
      </c>
      <c r="M148" s="59">
        <v>20210</v>
      </c>
      <c r="N148" s="58">
        <f t="shared" ca="1" si="37"/>
        <v>100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14</v>
      </c>
      <c r="J149" s="148">
        <f>+J155</f>
        <v>14</v>
      </c>
      <c r="K149" s="149">
        <f ca="1">IF(I149&gt;0,J149*100/I149,0)</f>
        <v>100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IFERROR(__xludf.DUMMYFUNCTION("IMPORTRANGE(""https://docs.google.com/spreadsheets/d/1C3CXT74ZlgGe6_JY_1olB1XN4rF0dxEuIIF-xsYjHgg/edit?usp=sharing"",""พรบ!BA94"")"),14)</f>
        <v>14</v>
      </c>
      <c r="J155" s="74">
        <v>14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25</v>
      </c>
      <c r="J169" s="191">
        <f>+J180</f>
        <v>0</v>
      </c>
      <c r="K169" s="192">
        <f ca="1">IF(I169&gt;0,J169*100/I169,0)</f>
        <v>0</v>
      </c>
      <c r="L169" s="193">
        <f ca="1">L170+L171</f>
        <v>89000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89000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IFERROR(__xludf.DUMMYFUNCTION("IMPORTRANGE(""https://docs.google.com/spreadsheets/d/1C3CXT74ZlgGe6_JY_1olB1XN4rF0dxEuIIF-xsYjHgg/edit?usp=sharing"",""พรบ!BD94"")"),0)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IFERROR(__xludf.DUMMYFUNCTION("IMPORTRANGE(""https://docs.google.com/spreadsheets/d/1C3CXT74ZlgGe6_JY_1olB1XN4rF0dxEuIIF-xsYjHgg/edit?usp=sharing"",""พรบ!BE94"")"),89000)</f>
        <v>89000</v>
      </c>
      <c r="M173" s="59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4"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4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4">
        <v>1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4">
        <v>1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IFERROR(__xludf.DUMMYFUNCTION("IMPORTRANGE(""https://docs.google.com/spreadsheets/d/1C3CXT74ZlgGe6_JY_1olB1XN4rF0dxEuIIF-xsYjHgg/edit?usp=sharing"",""พรบ!BF94"")"),1)</f>
        <v>1</v>
      </c>
      <c r="J179" s="74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IFERROR(__xludf.DUMMYFUNCTION("IMPORTRANGE(""https://docs.google.com/spreadsheets/d/1C3CXT74ZlgGe6_JY_1olB1XN4rF0dxEuIIF-xsYjHgg/edit?usp=sharing"",""พรบ!BG94"")"),25)</f>
        <v>25</v>
      </c>
      <c r="J180" s="74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IFERROR(__xludf.DUMMYFUNCTION("IMPORTRANGE(""https://docs.google.com/spreadsheets/d/1C3CXT74ZlgGe6_JY_1olB1XN4rF0dxEuIIF-xsYjHgg/edit?usp=sharing"",""พรบ!BH94"")"),25)</f>
        <v>25</v>
      </c>
      <c r="J181" s="74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IFERROR(__xludf.DUMMYFUNCTION("IMPORTRANGE(""https://docs.google.com/spreadsheets/d/1C3CXT74ZlgGe6_JY_1olB1XN4rF0dxEuIIF-xsYjHgg/edit?usp=sharing"",""พรบ!BI94"")"),1)</f>
        <v>1</v>
      </c>
      <c r="J182" s="74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4"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121"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20</v>
      </c>
      <c r="J185" s="191">
        <f>+J195</f>
        <v>0</v>
      </c>
      <c r="K185" s="192">
        <f ca="1">IF(I185&gt;0,J185*100/I185,0)</f>
        <v>0</v>
      </c>
      <c r="L185" s="193">
        <f ca="1">L186+L187</f>
        <v>447600</v>
      </c>
      <c r="M185" s="193">
        <f>SUM(M186:M187)</f>
        <v>44960</v>
      </c>
      <c r="N185" s="192">
        <f ca="1">IF(L185&gt;0,M185*100/L185,0)</f>
        <v>10.044682752457552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447600</v>
      </c>
      <c r="M187" s="55">
        <f t="shared" si="43"/>
        <v>44960</v>
      </c>
      <c r="N187" s="55">
        <f t="shared" ca="1" si="42"/>
        <v>10.044682752457552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IFERROR(__xludf.DUMMYFUNCTION("IMPORTRANGE(""https://docs.google.com/spreadsheets/d/1C3CXT74ZlgGe6_JY_1olB1XN4rF0dxEuIIF-xsYjHgg/edit?usp=sharing"",""พรบ!BK94"")"),264000)</f>
        <v>264000</v>
      </c>
      <c r="M188" s="59">
        <v>44000</v>
      </c>
      <c r="N188" s="58">
        <f t="shared" ca="1" si="42"/>
        <v>16.666666666666668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IFERROR(__xludf.DUMMYFUNCTION("IMPORTRANGE(""https://docs.google.com/spreadsheets/d/1C3CXT74ZlgGe6_JY_1olB1XN4rF0dxEuIIF-xsYjHgg/edit?usp=sharing"",""พรบ!BL94"")"),183600)</f>
        <v>183600</v>
      </c>
      <c r="M189" s="59">
        <v>960</v>
      </c>
      <c r="N189" s="58">
        <f t="shared" ca="1" si="42"/>
        <v>0.52287581699346408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v>1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4">
        <v>1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4">
        <v>1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IFERROR(__xludf.DUMMYFUNCTION("IMPORTRANGE(""https://docs.google.com/spreadsheets/d/1C3CXT74ZlgGe6_JY_1olB1XN4rF0dxEuIIF-xsYjHgg/edit?usp=sharing"",""พรบ!BM94"")"),20)</f>
        <v>20</v>
      </c>
      <c r="J195" s="74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4"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15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72260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72260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IFERROR(__xludf.DUMMYFUNCTION("IMPORTRANGE(""https://docs.google.com/spreadsheets/d/1C3CXT74ZlgGe6_JY_1olB1XN4rF0dxEuIIF-xsYjHgg/edit?usp=sharing"",""พรบ!BP94"")"),72260)</f>
        <v>72260</v>
      </c>
      <c r="M203" s="59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4">
        <v>1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4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4">
        <v>0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4">
        <v>0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IFERROR(__xludf.DUMMYFUNCTION("IMPORTRANGE(""https://docs.google.com/spreadsheets/d/1C3CXT74ZlgGe6_JY_1olB1XN4rF0dxEuIIF-xsYjHgg/edit?usp=sharing"",""พรบ!BQ94"")"),15)</f>
        <v>15</v>
      </c>
      <c r="J209" s="74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IFERROR(__xludf.DUMMYFUNCTION("IMPORTRANGE(""https://docs.google.com/spreadsheets/d/1C3CXT74ZlgGe6_JY_1olB1XN4rF0dxEuIIF-xsYjHgg/edit?usp=sharing"",""พรบ!BR94"")"),15)</f>
        <v>15</v>
      </c>
      <c r="J211" s="74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4"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201"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1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278600</v>
      </c>
      <c r="M214" s="211">
        <f>SUM(M215:M216)</f>
        <v>41987.41</v>
      </c>
      <c r="N214" s="210">
        <f ca="1">IF(L214&gt;0,M214*100/L214,0)</f>
        <v>15.070857860732232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278600</v>
      </c>
      <c r="M216" s="58">
        <f t="shared" si="49"/>
        <v>41987.41</v>
      </c>
      <c r="N216" s="58">
        <f t="shared" ca="1" si="48"/>
        <v>15.070857860732232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IFERROR(__xludf.DUMMYFUNCTION("IMPORTRANGE(""https://docs.google.com/spreadsheets/d/1C3CXT74ZlgGe6_JY_1olB1XN4rF0dxEuIIF-xsYjHgg/edit?usp=sharing"",""พรบ!BU94"")"),278600)</f>
        <v>278600</v>
      </c>
      <c r="M218" s="59">
        <v>41987.41</v>
      </c>
      <c r="N218" s="58">
        <f t="shared" ca="1" si="48"/>
        <v>15.070857860732232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4"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4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4">
        <v>0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4">
        <v>1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IFERROR(__xludf.DUMMYFUNCTION("IMPORTRANGE(""https://docs.google.com/spreadsheets/d/1C3CXT74ZlgGe6_JY_1olB1XN4rF0dxEuIIF-xsYjHgg/edit?usp=sharing"",""พรบ!BV94"")"),1)</f>
        <v>1</v>
      </c>
      <c r="J224" s="74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4"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90"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550</v>
      </c>
      <c r="J228" s="212">
        <f ca="1">J240</f>
        <v>64</v>
      </c>
      <c r="K228" s="192">
        <f ca="1">IF(I228&gt;0,J228*100/I228,0)</f>
        <v>11.636363636363637</v>
      </c>
      <c r="L228" s="193">
        <f ca="1">L229+L230</f>
        <v>1816010</v>
      </c>
      <c r="M228" s="193">
        <f>SUM(M229:M230)</f>
        <v>171005.7</v>
      </c>
      <c r="N228" s="192">
        <f ca="1">IF(L228&gt;0,M228*100/L228,0)</f>
        <v>9.416561582810667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1816010</v>
      </c>
      <c r="M230" s="58">
        <f t="shared" si="51"/>
        <v>171005.7</v>
      </c>
      <c r="N230" s="58">
        <f t="shared" ca="1" si="50"/>
        <v>9.416561582810667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IFERROR(__xludf.DUMMYFUNCTION("IMPORTRANGE(""https://docs.google.com/spreadsheets/d/1C3CXT74ZlgGe6_JY_1olB1XN4rF0dxEuIIF-xsYjHgg/edit?usp=sharing"",""พรบ!BX94"")"),923400)</f>
        <v>923400</v>
      </c>
      <c r="M231" s="59">
        <v>112894.74</v>
      </c>
      <c r="N231" s="58">
        <f t="shared" ca="1" si="50"/>
        <v>12.225984405458089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IFERROR(__xludf.DUMMYFUNCTION("IMPORTRANGE(""https://docs.google.com/spreadsheets/d/1C3CXT74ZlgGe6_JY_1olB1XN4rF0dxEuIIF-xsYjHgg/edit?usp=sharing"",""พรบ!BY94"")"),892610)</f>
        <v>892610</v>
      </c>
      <c r="M232" s="59">
        <v>58110.96</v>
      </c>
      <c r="N232" s="58">
        <f t="shared" ca="1" si="50"/>
        <v>6.510229551539866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IFERROR(__xludf.DUMMYFUNCTION("IMPORTRANGE(""https://docs.google.com/spreadsheets/d/1AGHcLOeeYFL3K4b9R1dSzyJy00PE_ra89DNTVfnxSWM/edit?usp=sharing"",""รวมที่ทำกิน!J83"")"),26)</f>
        <v>26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IFERROR(__xludf.DUMMYFUNCTION("IMPORTRANGE(""https://docs.google.com/spreadsheets/d/1C3CXT74ZlgGe6_JY_1olB1XN4rF0dxEuIIF-xsYjHgg/edit?usp=sharing"",""พรบ!BZ94"")"),5600)</f>
        <v>5600</v>
      </c>
      <c r="J235" s="73">
        <f ca="1">IFERROR(__xludf.DUMMYFUNCTION("IMPORTRANGE(""https://docs.google.com/spreadsheets/d/1AGHcLOeeYFL3K4b9R1dSzyJy00PE_ra89DNTVfnxSWM/edit?usp=sharing"",""รวมที่ทำกิน!L83"")"),227)</f>
        <v>227</v>
      </c>
      <c r="K235" s="215">
        <f t="shared" ca="1" si="52"/>
        <v>4.0535714285714288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IFERROR(__xludf.DUMMYFUNCTION("IMPORTRANGE(""https://docs.google.com/spreadsheets/d/1C3CXT74ZlgGe6_JY_1olB1XN4rF0dxEuIIF-xsYjHgg/edit?usp=sharing"",""พรบ!CA94"")"),550)</f>
        <v>550</v>
      </c>
      <c r="J236" s="73">
        <f ca="1">IFERROR(__xludf.DUMMYFUNCTION("IMPORTRANGE(""https://docs.google.com/spreadsheets/d/1AGHcLOeeYFL3K4b9R1dSzyJy00PE_ra89DNTVfnxSWM/edit?usp=sharing"",""รวมที่ทำกิน!O83"")"),74)</f>
        <v>74</v>
      </c>
      <c r="K236" s="215">
        <f t="shared" ca="1" si="52"/>
        <v>13.454545454545455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IFERROR(__xludf.DUMMYFUNCTION("IMPORTRANGE(""https://docs.google.com/spreadsheets/d/1AGHcLOeeYFL3K4b9R1dSzyJy00PE_ra89DNTVfnxSWM/edit?usp=sharing"",""รวมที่ทำกิน!Q83"")"),1233.41)</f>
        <v>1233.4100000000001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IFERROR(__xludf.DUMMYFUNCTION("IMPORTRANGE(""https://docs.google.com/spreadsheets/d/1C3CXT74ZlgGe6_JY_1olB1XN4rF0dxEuIIF-xsYjHgg/edit?usp=sharing"",""พรบ!CB94"")"),550)</f>
        <v>550</v>
      </c>
      <c r="J238" s="73">
        <f ca="1">IFERROR(__xludf.DUMMYFUNCTION("IMPORTRANGE(""https://docs.google.com/spreadsheets/d/1AGHcLOeeYFL3K4b9R1dSzyJy00PE_ra89DNTVfnxSWM/edit?usp=sharing"",""รวมที่ทำกิน!S83"")"),0)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IFERROR(__xludf.DUMMYFUNCTION("IMPORTRANGE(""https://docs.google.com/spreadsheets/d/1AGHcLOeeYFL3K4b9R1dSzyJy00PE_ra89DNTVfnxSWM/edit?usp=sharing"",""รวมที่ทำกิน!U83"")"),0)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IFERROR(__xludf.DUMMYFUNCTION("IMPORTRANGE(""https://docs.google.com/spreadsheets/d/1C3CXT74ZlgGe6_JY_1olB1XN4rF0dxEuIIF-xsYjHgg/edit?usp=sharing"",""พรบ!CC94"")"),550)</f>
        <v>550</v>
      </c>
      <c r="J240" s="73">
        <f ca="1">IFERROR(__xludf.DUMMYFUNCTION("IMPORTRANGE(""https://docs.google.com/spreadsheets/d/1AGHcLOeeYFL3K4b9R1dSzyJy00PE_ra89DNTVfnxSWM/edit?usp=sharing"",""รวมที่ทำกิน!W83"")"),64)</f>
        <v>64</v>
      </c>
      <c r="K240" s="215">
        <f t="shared" ca="1" si="52"/>
        <v>11.636363636363637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IFERROR(__xludf.DUMMYFUNCTION("IMPORTRANGE(""https://docs.google.com/spreadsheets/d/1AGHcLOeeYFL3K4b9R1dSzyJy00PE_ra89DNTVfnxSWM/edit?usp=sharing"",""รวมที่ทำกิน!Y83"")"),1169.56)</f>
        <v>1169.56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2783438</v>
      </c>
      <c r="M242" s="230">
        <f t="shared" si="53"/>
        <v>108825.06999999999</v>
      </c>
      <c r="N242" s="230">
        <f ca="1">+IF(L242&gt;0,M242*100/L242,0)</f>
        <v>3.9097357296983084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80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311160</v>
      </c>
      <c r="M244" s="246">
        <f t="shared" si="56"/>
        <v>24741.95</v>
      </c>
      <c r="N244" s="246">
        <f ca="1">+IF(L244&gt;0,M244*100/L244,0)</f>
        <v>7.9515201182671298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40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311160</v>
      </c>
      <c r="M247" s="55">
        <f t="shared" si="59"/>
        <v>24741.95</v>
      </c>
      <c r="N247" s="55">
        <f t="shared" ca="1" si="58"/>
        <v>7.9515201182671298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IFERROR(__xludf.DUMMYFUNCTION("IMPORTRANGE(""https://docs.google.com/spreadsheets/d/1C3CXT74ZlgGe6_JY_1olB1XN4rF0dxEuIIF-xsYjHgg/edit?usp=sharing"",""งบกองทุน!d94"")"),0)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IFERROR(__xludf.DUMMYFUNCTION("IMPORTRANGE(""https://docs.google.com/spreadsheets/d/1C3CXT74ZlgGe6_JY_1olB1XN4rF0dxEuIIF-xsYjHgg/edit?usp=sharing"",""งบกองทุน!e94"")"),311160)</f>
        <v>311160</v>
      </c>
      <c r="M249" s="58">
        <f>SUM(M250:M253)</f>
        <v>24741.95</v>
      </c>
      <c r="N249" s="58">
        <f t="shared" ca="1" si="58"/>
        <v>7.9515201182671298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24741.95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1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0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IFERROR(__xludf.DUMMYFUNCTION("IMPORTRANGE(""https://docs.google.com/spreadsheets/d/1C3CXT74ZlgGe6_JY_1olB1XN4rF0dxEuIIF-xsYjHgg/edit?usp=sharing"",""งบกองทุน!f94"")"),0)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80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IFERROR(__xludf.DUMMYFUNCTION("IMPORTRANGE(""https://docs.google.com/spreadsheets/d/1C3CXT74ZlgGe6_JY_1olB1XN4rF0dxEuIIF-xsYjHgg/edit?usp=sharing"",""งบกองทุน!H94"")"),40)</f>
        <v>40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IFERROR(__xludf.DUMMYFUNCTION("IMPORTRANGE(""https://docs.google.com/spreadsheets/d/1C3CXT74ZlgGe6_JY_1olB1XN4rF0dxEuIIF-xsYjHgg/edit?usp=sharing"",""งบกองทุน!i94"")"),40)</f>
        <v>40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40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IFERROR(__xludf.DUMMYFUNCTION("IMPORTRANGE(""https://docs.google.com/spreadsheets/d/1C3CXT74ZlgGe6_JY_1olB1XN4rF0dxEuIIF-xsYjHgg/edit?usp=sharing"",""งบกองทุน!k94"")"),40)</f>
        <v>40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40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IFERROR(__xludf.DUMMYFUNCTION("IMPORTRANGE(""https://docs.google.com/spreadsheets/d/1C3CXT74ZlgGe6_JY_1olB1XN4rF0dxEuIIF-xsYjHgg/edit?usp=sharing"",""งบกองทุน!m94"")"),0)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80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IFERROR(__xludf.DUMMYFUNCTION("IMPORTRANGE(""https://docs.google.com/spreadsheets/d/1C3CXT74ZlgGe6_JY_1olB1XN4rF0dxEuIIF-xsYjHgg/edit?usp=sharing"",""งบกองทุน!o94"")"),40)</f>
        <v>40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IFERROR(__xludf.DUMMYFUNCTION("IMPORTRANGE(""https://docs.google.com/spreadsheets/d/1C3CXT74ZlgGe6_JY_1olB1XN4rF0dxEuIIF-xsYjHgg/edit?usp=sharing"",""งบกองทุน!p94"")"),40)</f>
        <v>40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1000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1028520</v>
      </c>
      <c r="M275" s="246">
        <f t="shared" si="65"/>
        <v>20202.169999999998</v>
      </c>
      <c r="N275" s="246">
        <f ca="1">+IF(L275&gt;0,M275*100/L275,0)</f>
        <v>1.9641980710146616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100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1028520</v>
      </c>
      <c r="M278" s="55">
        <f t="shared" si="67"/>
        <v>20202.169999999998</v>
      </c>
      <c r="N278" s="55">
        <f t="shared" ca="1" si="66"/>
        <v>1.9641980710146616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IFERROR(__xludf.DUMMYFUNCTION("IMPORTRANGE(""https://docs.google.com/spreadsheets/d/1C3CXT74ZlgGe6_JY_1olB1XN4rF0dxEuIIF-xsYjHgg/edit?usp=sharing"",""งบกองทุน!r94"")"),0)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IFERROR(__xludf.DUMMYFUNCTION("IMPORTRANGE(""https://docs.google.com/spreadsheets/d/1C3CXT74ZlgGe6_JY_1olB1XN4rF0dxEuIIF-xsYjHgg/edit?usp=sharing"",""งบกองทุน!s94"")"),1028520)</f>
        <v>1028520</v>
      </c>
      <c r="M280" s="58">
        <f>SUM(M281:M284)</f>
        <v>20202.169999999998</v>
      </c>
      <c r="N280" s="58">
        <f t="shared" ca="1" si="66"/>
        <v>1.9641980710146616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20202.169999999998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1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0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IFERROR(__xludf.DUMMYFUNCTION("IMPORTRANGE(""https://docs.google.com/spreadsheets/d/1C3CXT74ZlgGe6_JY_1olB1XN4rF0dxEuIIF-xsYjHgg/edit?usp=sharing"",""งบกองทุน!v94"")"),100)</f>
        <v>100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IFERROR(__xludf.DUMMYFUNCTION("IMPORTRANGE(""https://docs.google.com/spreadsheets/d/1C3CXT74ZlgGe6_JY_1olB1XN4rF0dxEuIIF-xsYjHgg/edit?usp=sharing"",""งบกองทุน!w94"")"),1000)</f>
        <v>1000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IFERROR(__xludf.DUMMYFUNCTION("IMPORTRANGE(""https://docs.google.com/spreadsheets/d/1C3CXT74ZlgGe6_JY_1olB1XN4rF0dxEuIIF-xsYjHgg/edit?usp=sharing"",""งบกองทุน!x94"")"),100)</f>
        <v>100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75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81620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25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81620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IFERROR(__xludf.DUMMYFUNCTION("IMPORTRANGE(""https://docs.google.com/spreadsheets/d/1C3CXT74ZlgGe6_JY_1olB1XN4rF0dxEuIIF-xsYjHgg/edit?usp=sharing"",""งบกองทุน!z94"")"),0)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IFERROR(__xludf.DUMMYFUNCTION("IMPORTRANGE(""https://docs.google.com/spreadsheets/d/1C3CXT74ZlgGe6_JY_1olB1XN4rF0dxEuIIF-xsYjHgg/edit?usp=sharing"",""งบกองทุน!aa94"")"),81620)</f>
        <v>81620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1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0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0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25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IFERROR(__xludf.DUMMYFUNCTION("IMPORTRANGE(""https://docs.google.com/spreadsheets/d/1C3CXT74ZlgGe6_JY_1olB1XN4rF0dxEuIIF-xsYjHgg/edit?usp=sharing"",""งบกองทุน!ae94"")"),10)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IFERROR(__xludf.DUMMYFUNCTION("IMPORTRANGE(""https://docs.google.com/spreadsheets/d/1C3CXT74ZlgGe6_JY_1olB1XN4rF0dxEuIIF-xsYjHgg/edit?usp=sharing"",""งบกองทุน!ad94"")"),30)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IFERROR(__xludf.DUMMYFUNCTION("IMPORTRANGE(""https://docs.google.com/spreadsheets/d/1C3CXT74ZlgGe6_JY_1olB1XN4rF0dxEuIIF-xsYjHgg/edit?usp=sharing"",""งบกองทุน!af94"")"),10)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IFERROR(__xludf.DUMMYFUNCTION("IMPORTRANGE(""https://docs.google.com/spreadsheets/d/1C3CXT74ZlgGe6_JY_1olB1XN4rF0dxEuIIF-xsYjHgg/edit?usp=sharing"",""งบกองทุน!ag94"")"),10)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IFERROR(__xludf.DUMMYFUNCTION("IMPORTRANGE(""https://docs.google.com/spreadsheets/d/1C3CXT74ZlgGe6_JY_1olB1XN4rF0dxEuIIF-xsYjHgg/edit?usp=sharing"",""งบกองทุน!ai94"")"),0)</f>
        <v>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IFERROR(__xludf.DUMMYFUNCTION("IMPORTRANGE(""https://docs.google.com/spreadsheets/d/1C3CXT74ZlgGe6_JY_1olB1XN4rF0dxEuIIF-xsYjHgg/edit?usp=sharing"",""งบกองทุน!ah94"")"),0)</f>
        <v>0</v>
      </c>
      <c r="J317" s="391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IFERROR(__xludf.DUMMYFUNCTION("IMPORTRANGE(""https://docs.google.com/spreadsheets/d/1C3CXT74ZlgGe6_JY_1olB1XN4rF0dxEuIIF-xsYjHgg/edit?usp=sharing"",""งบกองทุน!aj94"")"),0)</f>
        <v>0</v>
      </c>
      <c r="J318" s="392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IFERROR(__xludf.DUMMYFUNCTION("IMPORTRANGE(""https://docs.google.com/spreadsheets/d/1C3CXT74ZlgGe6_JY_1olB1XN4rF0dxEuIIF-xsYjHgg/edit?usp=sharing"",""งบกองทุน!ak94"")"),0)</f>
        <v>0</v>
      </c>
      <c r="J319" s="392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IFERROR(__xludf.DUMMYFUNCTION("IMPORTRANGE(""https://docs.google.com/spreadsheets/d/1C3CXT74ZlgGe6_JY_1olB1XN4rF0dxEuIIF-xsYjHgg/edit?usp=sharing"",""งบกองทุน!al94"")"),0)</f>
        <v>0</v>
      </c>
      <c r="J320" s="392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IFERROR(__xludf.DUMMYFUNCTION("IMPORTRANGE(""https://docs.google.com/spreadsheets/d/1C3CXT74ZlgGe6_JY_1olB1XN4rF0dxEuIIF-xsYjHgg/edit?usp=sharing"",""งบกองทุน!an94"")"),15)</f>
        <v>15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IFERROR(__xludf.DUMMYFUNCTION("IMPORTRANGE(""https://docs.google.com/spreadsheets/d/1C3CXT74ZlgGe6_JY_1olB1XN4rF0dxEuIIF-xsYjHgg/edit?usp=sharing"",""งบกองทุน!am94"")"),45)</f>
        <v>45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IFERROR(__xludf.DUMMYFUNCTION("IMPORTRANGE(""https://docs.google.com/spreadsheets/d/1C3CXT74ZlgGe6_JY_1olB1XN4rF0dxEuIIF-xsYjHgg/edit?usp=sharing"",""งบกองทุน!ao94"")"),15)</f>
        <v>15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IFERROR(__xludf.DUMMYFUNCTION("IMPORTRANGE(""https://docs.google.com/spreadsheets/d/1C3CXT74ZlgGe6_JY_1olB1XN4rF0dxEuIIF-xsYjHgg/edit?usp=sharing"",""งบกองทุน!ap94"")"),15)</f>
        <v>15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10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IFERROR(__xludf.DUMMYFUNCTION("IMPORTRANGE(""https://docs.google.com/spreadsheets/d/1C3CXT74ZlgGe6_JY_1olB1XN4rF0dxEuIIF-xsYjHgg/edit?usp=sharing"",""งบกองทุน!ar94"")"),10)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IFERROR(__xludf.DUMMYFUNCTION("IMPORTRANGE(""https://docs.google.com/spreadsheets/d/1C3CXT74ZlgGe6_JY_1olB1XN4rF0dxEuIIF-xsYjHgg/edit?usp=sharing"",""งบกองทุน!as94"")"),0)</f>
        <v>0</v>
      </c>
      <c r="J327" s="392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20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95000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95000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IFERROR(__xludf.DUMMYFUNCTION("IMPORTRANGE(""https://docs.google.com/spreadsheets/d/1C3CXT74ZlgGe6_JY_1olB1XN4rF0dxEuIIF-xsYjHgg/edit?usp=sharing"",""งบกองทุน!au94"")"),0)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IFERROR(__xludf.DUMMYFUNCTION("IMPORTRANGE(""https://docs.google.com/spreadsheets/d/1C3CXT74ZlgGe6_JY_1olB1XN4rF0dxEuIIF-xsYjHgg/edit?usp=sharing"",""งบกองทุน!av94"")"),95000)</f>
        <v>95000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0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20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IFERROR(__xludf.DUMMYFUNCTION("IMPORTRANGE(""https://docs.google.com/spreadsheets/d/1C3CXT74ZlgGe6_JY_1olB1XN4rF0dxEuIIF-xsYjHgg/edit?usp=sharing"",""งบกองทุน!ay94"")"),20)</f>
        <v>20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IFERROR(__xludf.DUMMYFUNCTION("IMPORTRANGE(""https://docs.google.com/spreadsheets/d/1C3CXT74ZlgGe6_JY_1olB1XN4rF0dxEuIIF-xsYjHgg/edit?usp=sharing"",""งบกองทุน!az94"")"),0)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IFERROR(__xludf.DUMMYFUNCTION("IMPORTRANGE(""https://docs.google.com/spreadsheets/d/1C3CXT74ZlgGe6_JY_1olB1XN4rF0dxEuIIF-xsYjHgg/edit?usp=sharing"",""งบกองทุน!Ba94"")"),0)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146061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1055798</v>
      </c>
      <c r="M350" s="246">
        <f t="shared" si="81"/>
        <v>42381.95</v>
      </c>
      <c r="N350" s="246">
        <f t="shared" ref="N350:N354" ca="1" si="82">+IF(L350&gt;0,M350*100/L350,0)</f>
        <v>4.0142101045844001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1055798</v>
      </c>
      <c r="M352" s="58">
        <f t="shared" si="83"/>
        <v>42381.95</v>
      </c>
      <c r="N352" s="58">
        <f t="shared" ca="1" si="82"/>
        <v>4.0142101045844001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IFERROR(__xludf.DUMMYFUNCTION("IMPORTRANGE(""https://docs.google.com/spreadsheets/d/1C3CXT74ZlgGe6_JY_1olB1XN4rF0dxEuIIF-xsYjHgg/edit?usp=sharing"",""งบกองทุน!Bc94"")"),0)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IFERROR(__xludf.DUMMYFUNCTION("IMPORTRANGE(""https://docs.google.com/spreadsheets/d/1C3CXT74ZlgGe6_JY_1olB1XN4rF0dxEuIIF-xsYjHgg/edit?usp=sharing"",""งบกองทุน!Bd94"")"),1055798)</f>
        <v>1055798</v>
      </c>
      <c r="M354" s="58">
        <f>SUM(M355:M358)</f>
        <v>42381.95</v>
      </c>
      <c r="N354" s="58">
        <f t="shared" ca="1" si="82"/>
        <v>4.0142101045844001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24741.95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17640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IFERROR(__xludf.DUMMYFUNCTION("IMPORTRANGE(""https://docs.google.com/spreadsheets/d/1C3CXT74ZlgGe6_JY_1olB1XN4rF0dxEuIIF-xsYjHgg/edit?usp=sharing"",""งบกองทุน!BE94"")"),146061)</f>
        <v>146061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146061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IFERROR(__xludf.DUMMYFUNCTION("IMPORTRANGE(""https://docs.google.com/spreadsheets/d/1C3CXT74ZlgGe6_JY_1olB1XN4rF0dxEuIIF-xsYjHgg/edit?usp=sharing"",""งบกองทุน!BF94"")"),11860)</f>
        <v>11860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146061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11860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146061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11860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IFERROR(__xludf.DUMMYFUNCTION("IMPORTRANGE(""https://docs.google.com/spreadsheets/d/1C3CXT74ZlgGe6_JY_1olB1XN4rF0dxEuIIF-xsYjHgg/edit?usp=sharing"",""งบกองทุน!cd94"")"),6467)</f>
        <v>6467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IFERROR(__xludf.DUMMYFUNCTION("IMPORTRANGE(""https://docs.google.com/spreadsheets/d/1C3CXT74ZlgGe6_JY_1olB1XN4rF0dxEuIIF-xsYjHgg/edit?usp=sharing"",""งบกองทุน!cd94"")"),6467)</f>
        <v>6467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IFERROR(__xludf.DUMMYFUNCTION("IMPORTRANGE(""https://docs.google.com/spreadsheets/d/1C3CXT74ZlgGe6_JY_1olB1XN4rF0dxEuIIF-xsYjHgg/edit?usp=sharing"",""งบกองทุน!cc94"")"),565)</f>
        <v>565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IFERROR(__xludf.DUMMYFUNCTION("IMPORTRANGE(""https://docs.google.com/spreadsheets/d/1C3CXT74ZlgGe6_JY_1olB1XN4rF0dxEuIIF-xsYjHgg/edit?usp=sharing"",""งบกองทุน!cz94"")"),0)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10" t="s">
        <v>103</v>
      </c>
      <c r="I410" s="161">
        <f ca="1">IFERROR(__xludf.DUMMYFUNCTION("IMPORTRANGE(""https://docs.google.com/spreadsheets/d/1C3CXT74ZlgGe6_JY_1olB1XN4rF0dxEuIIF-xsYjHgg/edit?usp=sharing"",""งบกองทุน!cz94"")"),0)</f>
        <v>0</v>
      </c>
      <c r="J410" s="161">
        <f t="shared" ref="J410:J411" ca="1" si="92">SUM(J412,J414)</f>
        <v>0</v>
      </c>
      <c r="K410" s="162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310" t="s">
        <v>15</v>
      </c>
      <c r="I411" s="161">
        <f ca="1">IFERROR(__xludf.DUMMYFUNCTION("IMPORTRANGE(""https://docs.google.com/spreadsheets/d/1C3CXT74ZlgGe6_JY_1olB1XN4rF0dxEuIIF-xsYjHgg/edit?usp=sharing"",""งบกองทุน!cy94"")"),0)</f>
        <v>0</v>
      </c>
      <c r="J411" s="161">
        <f t="shared" ca="1" si="92"/>
        <v>0</v>
      </c>
      <c r="K411" s="162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285" t="s">
        <v>103</v>
      </c>
      <c r="I412" s="53">
        <v>0</v>
      </c>
      <c r="J412" s="393">
        <f ca="1">IFERROR(__xludf.DUMMYFUNCTION("IMPORTRANGE(""https://docs.google.com/spreadsheets/d/1C3CXT74ZlgGe6_JY_1olB1XN4rF0dxEuIIF-xsYjHgg/edit?usp=sharing"",""งบกองทุน!db94"")"),0)</f>
        <v>0</v>
      </c>
      <c r="K412" s="250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285" t="s">
        <v>15</v>
      </c>
      <c r="I413" s="53">
        <v>0</v>
      </c>
      <c r="J413" s="393">
        <f ca="1">IFERROR(__xludf.DUMMYFUNCTION("IMPORTRANGE(""https://docs.google.com/spreadsheets/d/1C3CXT74ZlgGe6_JY_1olB1XN4rF0dxEuIIF-xsYjHgg/edit?usp=sharing"",""งบกองทุน!da94"")"),0)</f>
        <v>0</v>
      </c>
      <c r="K413" s="250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285" t="s">
        <v>103</v>
      </c>
      <c r="I414" s="53">
        <v>0</v>
      </c>
      <c r="J414" s="393">
        <f ca="1">IFERROR(__xludf.DUMMYFUNCTION("IMPORTRANGE(""https://docs.google.com/spreadsheets/d/1C3CXT74ZlgGe6_JY_1olB1XN4rF0dxEuIIF-xsYjHgg/edit?usp=sharing"",""งบกองทุน!dd94"")"),0)</f>
        <v>0</v>
      </c>
      <c r="K414" s="250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285" t="s">
        <v>15</v>
      </c>
      <c r="I415" s="53">
        <v>0</v>
      </c>
      <c r="J415" s="393">
        <f ca="1">IFERROR(__xludf.DUMMYFUNCTION("IMPORTRANGE(""https://docs.google.com/spreadsheets/d/1C3CXT74ZlgGe6_JY_1olB1XN4rF0dxEuIIF-xsYjHgg/edit?usp=sharing"",""งบกองทุน!dc94"")"),0)</f>
        <v>0</v>
      </c>
      <c r="K415" s="250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285" t="s">
        <v>103</v>
      </c>
      <c r="I416" s="53">
        <v>0</v>
      </c>
      <c r="J416" s="393">
        <f ca="1">IFERROR(__xludf.DUMMYFUNCTION("IMPORTRANGE(""https://docs.google.com/spreadsheets/d/1C3CXT74ZlgGe6_JY_1olB1XN4rF0dxEuIIF-xsYjHgg/edit?usp=sharing"",""งบกองทุน!df94"")"),0)</f>
        <v>0</v>
      </c>
      <c r="K416" s="250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285" t="s">
        <v>15</v>
      </c>
      <c r="I417" s="53">
        <v>0</v>
      </c>
      <c r="J417" s="393">
        <f ca="1">IFERROR(__xludf.DUMMYFUNCTION("IMPORTRANGE(""https://docs.google.com/spreadsheets/d/1C3CXT74ZlgGe6_JY_1olB1XN4rF0dxEuIIF-xsYjHgg/edit?usp=sharing"",""งบกองทุน!de94"")"),0)</f>
        <v>0</v>
      </c>
      <c r="K417" s="250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310" t="s">
        <v>103</v>
      </c>
      <c r="I418" s="394">
        <f t="shared" ref="I418:I419" ca="1" si="93">J416</f>
        <v>0</v>
      </c>
      <c r="J418" s="394">
        <f t="shared" ref="J418:J419" si="94">SUM(J420,J422,J424)</f>
        <v>0</v>
      </c>
      <c r="K418" s="395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310" t="s">
        <v>15</v>
      </c>
      <c r="I419" s="394">
        <f t="shared" ca="1" si="93"/>
        <v>0</v>
      </c>
      <c r="J419" s="394">
        <f t="shared" si="94"/>
        <v>0</v>
      </c>
      <c r="K419" s="395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285" t="s">
        <v>103</v>
      </c>
      <c r="I420" s="53">
        <v>0</v>
      </c>
      <c r="J420" s="74">
        <v>0</v>
      </c>
      <c r="K420" s="54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285" t="s">
        <v>15</v>
      </c>
      <c r="I421" s="53">
        <v>0</v>
      </c>
      <c r="J421" s="74">
        <v>0</v>
      </c>
      <c r="K421" s="54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285" t="s">
        <v>103</v>
      </c>
      <c r="I422" s="53">
        <v>0</v>
      </c>
      <c r="J422" s="74">
        <v>0</v>
      </c>
      <c r="K422" s="54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285" t="s">
        <v>15</v>
      </c>
      <c r="I423" s="53">
        <v>0</v>
      </c>
      <c r="J423" s="74">
        <v>0</v>
      </c>
      <c r="K423" s="54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285" t="s">
        <v>103</v>
      </c>
      <c r="I424" s="53">
        <v>0</v>
      </c>
      <c r="J424" s="74">
        <v>0</v>
      </c>
      <c r="K424" s="54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316" t="s">
        <v>15</v>
      </c>
      <c r="I425" s="396">
        <v>0</v>
      </c>
      <c r="J425" s="318">
        <v>0</v>
      </c>
      <c r="K425" s="319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5">I440</f>
        <v>24</v>
      </c>
      <c r="J426" s="275">
        <f t="shared" si="95"/>
        <v>0</v>
      </c>
      <c r="K426" s="276">
        <f ca="1">IF(I426&gt;0,J426*100/I426,0)</f>
        <v>0</v>
      </c>
      <c r="L426" s="277">
        <f t="shared" ref="L426:M426" ca="1" si="96">SUM(L427:L428)</f>
        <v>36040</v>
      </c>
      <c r="M426" s="277">
        <f t="shared" si="96"/>
        <v>18899</v>
      </c>
      <c r="N426" s="277">
        <f t="shared" ref="N426:N430" ca="1" si="97">+IF(L426&gt;0,M426*100/L426,0)</f>
        <v>52.438956714761375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36040</v>
      </c>
      <c r="M428" s="58">
        <f t="shared" si="98"/>
        <v>18899</v>
      </c>
      <c r="N428" s="58">
        <f t="shared" ca="1" si="97"/>
        <v>52.438956714761375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IFERROR(__xludf.DUMMYFUNCTION("IMPORTRANGE(""https://docs.google.com/spreadsheets/d/1C3CXT74ZlgGe6_JY_1olB1XN4rF0dxEuIIF-xsYjHgg/edit?usp=sharing"",""งบกองทุน!dn94"")"),0)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IFERROR(__xludf.DUMMYFUNCTION("IMPORTRANGE(""https://docs.google.com/spreadsheets/d/1C3CXT74ZlgGe6_JY_1olB1XN4rF0dxEuIIF-xsYjHgg/edit?usp=sharing"",""งบกองทุน!do94"")"),36040)</f>
        <v>36040</v>
      </c>
      <c r="M430" s="58">
        <f>SUM(M431:M434)</f>
        <v>18899</v>
      </c>
      <c r="N430" s="58">
        <f t="shared" ca="1" si="97"/>
        <v>52.438956714761375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17179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1720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IFERROR(__xludf.DUMMYFUNCTION("IMPORTRANGE(""https://docs.google.com/spreadsheets/d/1C3CXT74ZlgGe6_JY_1olB1XN4rF0dxEuIIF-xsYjHgg/edit?usp=sharing"",""งบกองทุน!dq94"")"),24)</f>
        <v>24</v>
      </c>
      <c r="J440" s="74">
        <v>0</v>
      </c>
      <c r="K440" s="54">
        <f t="shared" ref="K440:K441" ca="1" si="99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IFERROR(__xludf.DUMMYFUNCTION("IMPORTRANGE(""https://docs.google.com/spreadsheets/d/1C3CXT74ZlgGe6_JY_1olB1XN4rF0dxEuIIF-xsYjHgg/edit?usp=sharing"",""งบกองทุน!dr94"")"),24)</f>
        <v>24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IFERROR(__xludf.DUMMYFUNCTION("IMPORTRANGE(""https://docs.google.com/spreadsheets/d/1C3CXT74ZlgGe6_JY_1olB1XN4rF0dxEuIIF-xsYjHgg/edit?usp=sharing"",""งบกองทุน!dt94"")"),0)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IFERROR(__xludf.DUMMYFUNCTION("IMPORTRANGE(""https://docs.google.com/spreadsheets/d/1C3CXT74ZlgGe6_JY_1olB1XN4rF0dxEuIIF-xsYjHgg/edit?usp=sharing"",""งบกองทุน!du94"")"),0)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IFERROR(__xludf.DUMMYFUNCTION("IMPORTRANGE(""https://docs.google.com/spreadsheets/d/1C3CXT74ZlgGe6_JY_1olB1XN4rF0dxEuIIF-xsYjHgg/edit?usp=sharing"",""งบกองทุน!dw94"")"),0)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IFERROR(__xludf.DUMMYFUNCTION("IMPORTRANGE(""https://docs.google.com/spreadsheets/d/1C3CXT74ZlgGe6_JY_1olB1XN4rF0dxEuIIF-xsYjHgg/edit?usp=sharing"",""งบกองทุน!dx94"")"),0)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IFERROR(__xludf.DUMMYFUNCTION("IMPORTRANGE(""https://docs.google.com/spreadsheets/d/1C3CXT74ZlgGe6_JY_1olB1XN4rF0dxEuIIF-xsYjHgg/edit?usp=sharing"",""งบกองทุน!dy94"")"),0)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IFERROR(__xludf.DUMMYFUNCTION("IMPORTRANGE(""https://docs.google.com/spreadsheets/d/1C3CXT74ZlgGe6_JY_1olB1XN4rF0dxEuIIF-xsYjHgg/edit?usp=sharing"",""งบกองทุน!dz94"")"),0)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3100</v>
      </c>
      <c r="J457" s="244">
        <f>+J466</f>
        <v>1681</v>
      </c>
      <c r="K457" s="245">
        <f t="shared" ca="1" si="104"/>
        <v>54.225806451612904</v>
      </c>
      <c r="L457" s="246">
        <f t="shared" ref="L457:M457" ca="1" si="105">SUM(L458:L459)</f>
        <v>167200</v>
      </c>
      <c r="M457" s="246">
        <f t="shared" si="105"/>
        <v>0</v>
      </c>
      <c r="N457" s="246">
        <f t="shared" ref="N457:N461" ca="1" si="106">+IF(L457&gt;0,M457*100/L457,0)</f>
        <v>0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167200</v>
      </c>
      <c r="M459" s="58">
        <f t="shared" si="107"/>
        <v>0</v>
      </c>
      <c r="N459" s="58">
        <f t="shared" ca="1" si="106"/>
        <v>0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IFERROR(__xludf.DUMMYFUNCTION("IMPORTRANGE(""https://docs.google.com/spreadsheets/d/1C3CXT74ZlgGe6_JY_1olB1XN4rF0dxEuIIF-xsYjHgg/edit?usp=sharing"",""งบกองทุน!Eb94"")"),0)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IFERROR(__xludf.DUMMYFUNCTION("IMPORTRANGE(""https://docs.google.com/spreadsheets/d/1C3CXT74ZlgGe6_JY_1olB1XN4rF0dxEuIIF-xsYjHgg/edit?usp=sharing"",""งบกองทุน!Ec94"")"),167200)</f>
        <v>167200</v>
      </c>
      <c r="M461" s="58">
        <f>SUM(M462:M465)</f>
        <v>0</v>
      </c>
      <c r="N461" s="58">
        <f t="shared" ca="1" si="106"/>
        <v>0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IFERROR(__xludf.DUMMYFUNCTION("IMPORTRANGE(""https://docs.google.com/spreadsheets/d/1C3CXT74ZlgGe6_JY_1olB1XN4rF0dxEuIIF-xsYjHgg/edit?usp=sharing"",""งบกองทุน!Ed94"")"),3100)</f>
        <v>3100</v>
      </c>
      <c r="J466" s="283">
        <f>+J469+J470+J471+J472</f>
        <v>1681</v>
      </c>
      <c r="K466" s="85">
        <f ca="1">IF(I466&gt;0,J466*100/I466,0)</f>
        <v>54.225806451612904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1649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1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31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IFERROR(__xludf.DUMMYFUNCTION("IMPORTRANGE(""https://docs.google.com/spreadsheets/d/1C3CXT74ZlgGe6_JY_1olB1XN4rF0dxEuIIF-xsYjHgg/edit?usp=sharing"",""งบกองทุน!Ek94"")"),0)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IFERROR(__xludf.DUMMYFUNCTION("IMPORTRANGE(""https://docs.google.com/spreadsheets/d/1C3CXT74ZlgGe6_JY_1olB1XN4rF0dxEuIIF-xsYjHgg/edit?usp=sharing"",""งบกองทุน!El94"")"),0)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IFERROR(__xludf.DUMMYFUNCTION("IMPORTRANGE(""https://docs.google.com/spreadsheets/d/1C3CXT74ZlgGe6_JY_1olB1XN4rF0dxEuIIF-xsYjHgg/edit?usp=sharing"",""งบกองทุน!Em94"")"),0)</f>
        <v>0</v>
      </c>
      <c r="J482" s="73">
        <f ca="1">IFERROR(__xludf.DUMMYFUNCTION("IMPORTRANGE(""https://docs.google.com/spreadsheets/d/1AGHcLOeeYFL3K4b9R1dSzyJy00PE_ra89DNTVfnxSWM/edit?usp=sharing"",""รวมที่ชุมชน!G83"")"),0)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IFERROR(__xludf.DUMMYFUNCTION("IMPORTRANGE(""https://docs.google.com/spreadsheets/d/1AGHcLOeeYFL3K4b9R1dSzyJy00PE_ra89DNTVfnxSWM/edit?usp=sharing"",""รวมที่ชุมชน!H83"")"),0)</f>
        <v>0</v>
      </c>
      <c r="K483" s="250">
        <f t="shared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IFERROR(__xludf.DUMMYFUNCTION("IMPORTRANGE(""https://docs.google.com/spreadsheets/d/1C3CXT74ZlgGe6_JY_1olB1XN4rF0dxEuIIF-xsYjHgg/edit?usp=sharing"",""งบกองทุน!Eo94"")"),0)</f>
        <v>0</v>
      </c>
      <c r="J484" s="73">
        <f ca="1">IFERROR(__xludf.DUMMYFUNCTION("IMPORTRANGE(""https://docs.google.com/spreadsheets/d/1AGHcLOeeYFL3K4b9R1dSzyJy00PE_ra89DNTVfnxSWM/edit?usp=sharing"",""รวมที่ชุมชน!J83"")"),0)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IFERROR(__xludf.DUMMYFUNCTION("IMPORTRANGE(""https://docs.google.com/spreadsheets/d/1AGHcLOeeYFL3K4b9R1dSzyJy00PE_ra89DNTVfnxSWM/edit?usp=sharing"",""รวมที่ชุมชน!L83"")"),0)</f>
        <v>0</v>
      </c>
      <c r="K485" s="250">
        <f t="shared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IFERROR(__xludf.DUMMYFUNCTION("IMPORTRANGE(""https://docs.google.com/spreadsheets/d/1C3CXT74ZlgGe6_JY_1olB1XN4rF0dxEuIIF-xsYjHgg/edit?usp=sharing"",""งบกองทุน!Eq94"")"),0)</f>
        <v>0</v>
      </c>
      <c r="J486" s="73">
        <f ca="1">IFERROR(__xludf.DUMMYFUNCTION("IMPORTRANGE(""https://docs.google.com/spreadsheets/d/1AGHcLOeeYFL3K4b9R1dSzyJy00PE_ra89DNTVfnxSWM/edit?usp=sharing"",""รวมที่ชุมชน!S83"")"),0)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IFERROR(__xludf.DUMMYFUNCTION("IMPORTRANGE(""https://docs.google.com/spreadsheets/d/1AGHcLOeeYFL3K4b9R1dSzyJy00PE_ra89DNTVfnxSWM/edit?usp=sharing"",""รวมที่ชุมชน!U83"")"),0)</f>
        <v>0</v>
      </c>
      <c r="K487" s="250">
        <f t="shared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IFERROR(__xludf.DUMMYFUNCTION("IMPORTRANGE(""https://docs.google.com/spreadsheets/d/1C3CXT74ZlgGe6_JY_1olB1XN4rF0dxEuIIF-xsYjHgg/edit?usp=sharing"",""งบกองทุน!Es94"")"),0)</f>
        <v>0</v>
      </c>
      <c r="J488" s="73">
        <f ca="1">IFERROR(__xludf.DUMMYFUNCTION("IMPORTRANGE(""https://docs.google.com/spreadsheets/d/1AGHcLOeeYFL3K4b9R1dSzyJy00PE_ra89DNTVfnxSWM/edit?usp=sharing"",""รวมที่ชุมชน!V83"")"),0)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IFERROR(__xludf.DUMMYFUNCTION("IMPORTRANGE(""https://docs.google.com/spreadsheets/d/1AGHcLOeeYFL3K4b9R1dSzyJy00PE_ra89DNTVfnxSWM/edit?usp=sharing"",""รวมที่ชุมชน!X83"")"),0)</f>
        <v>0</v>
      </c>
      <c r="K489" s="385">
        <f t="shared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100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8100</v>
      </c>
      <c r="M490" s="277">
        <f>SUM(M491:M492)</f>
        <v>2600</v>
      </c>
      <c r="N490" s="277">
        <f t="shared" ref="N490:N494" ca="1" si="113">+IF(L490&gt;0,M490*100/L490,0)</f>
        <v>32.098765432098766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8100</v>
      </c>
      <c r="M492" s="58">
        <f t="shared" si="114"/>
        <v>2600</v>
      </c>
      <c r="N492" s="58">
        <f t="shared" ca="1" si="113"/>
        <v>32.098765432098766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IFERROR(__xludf.DUMMYFUNCTION("IMPORTRANGE(""https://docs.google.com/spreadsheets/d/1C3CXT74ZlgGe6_JY_1olB1XN4rF0dxEuIIF-xsYjHgg/edit?usp=sharing"",""งบกองทุน!Ev94"")"),0)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IFERROR(__xludf.DUMMYFUNCTION("IMPORTRANGE(""https://docs.google.com/spreadsheets/d/1C3CXT74ZlgGe6_JY_1olB1XN4rF0dxEuIIF-xsYjHgg/edit?usp=sharing"",""งบกองทุน!Ew94"")"),8100)</f>
        <v>8100</v>
      </c>
      <c r="M494" s="58">
        <f>SUM(M495:M498)</f>
        <v>2600</v>
      </c>
      <c r="N494" s="58">
        <f t="shared" ca="1" si="113"/>
        <v>32.098765432098766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1600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1000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IFERROR(__xludf.DUMMYFUNCTION("IMPORTRANGE(""https://docs.google.com/spreadsheets/d/1C3CXT74ZlgGe6_JY_1olB1XN4rF0dxEuIIF-xsYjHgg/edit?usp=sharing"",""งบกองทุน!EZ94"")"),100)</f>
        <v>100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IFERROR(__xludf.DUMMYFUNCTION("IMPORTRANGE(""https://docs.google.com/spreadsheets/d/1C3CXT74ZlgGe6_JY_1olB1XN4rF0dxEuIIF-xsYjHgg/edit?usp=sharing"",""งบกองทุน!ff94"")"),0)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IFERROR(__xludf.DUMMYFUNCTION("IMPORTRANGE(""https://docs.google.com/spreadsheets/d/1muirlRDkqiswvy_NRZ3Yh955hx-PF6_HhssUYiSJj8o/edit?usp=sharing"",""กองทุน!D94"")"),4091300.88)</f>
        <v>4091300.88</v>
      </c>
      <c r="J521" s="214">
        <f ca="1">IFERROR(__xludf.DUMMYFUNCTION("IMPORTRANGE(""https://docs.google.com/spreadsheets/d/1muirlRDkqiswvy_NRZ3Yh955hx-PF6_HhssUYiSJj8o/edit?usp=sharing"",""กองทุน!F94"")"),4804.39)</f>
        <v>4804.3900000000003</v>
      </c>
      <c r="K521" s="215">
        <f t="shared" ref="K521:K528" ca="1" si="118">IF(I521&gt;0,J521*100/I521,0)</f>
        <v>0.11742939815269711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IFERROR(__xludf.DUMMYFUNCTION("IMPORTRANGE(""https://docs.google.com/spreadsheets/d/1muirlRDkqiswvy_NRZ3Yh955hx-PF6_HhssUYiSJj8o/edit?usp=sharing"",""กองทุน!C94"")"),252)</f>
        <v>252</v>
      </c>
      <c r="J522" s="214">
        <f ca="1">IFERROR(__xludf.DUMMYFUNCTION("IMPORTRANGE(""https://docs.google.com/spreadsheets/d/1muirlRDkqiswvy_NRZ3Yh955hx-PF6_HhssUYiSJj8o/edit?usp=sharing"",""กองทุน!E94"")"),1)</f>
        <v>1</v>
      </c>
      <c r="K522" s="215">
        <f t="shared" ca="1" si="118"/>
        <v>0.3968253968253968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IFERROR(__xludf.DUMMYFUNCTION("IMPORTRANGE(""https://docs.google.com/spreadsheets/d/1muirlRDkqiswvy_NRZ3Yh955hx-PF6_HhssUYiSJj8o/edit?usp=sharing"",""กองทุน!I94"")"),2294817.46)</f>
        <v>2294817.46</v>
      </c>
      <c r="J523" s="214">
        <f ca="1">IFERROR(__xludf.DUMMYFUNCTION("IMPORTRANGE(""https://docs.google.com/spreadsheets/d/1muirlRDkqiswvy_NRZ3Yh955hx-PF6_HhssUYiSJj8o/edit?usp=sharing"",""กองทุน!K94"")"),94281.71)</f>
        <v>94281.71</v>
      </c>
      <c r="K523" s="215">
        <f t="shared" ca="1" si="118"/>
        <v>4.1084622913754547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IFERROR(__xludf.DUMMYFUNCTION("IMPORTRANGE(""https://docs.google.com/spreadsheets/d/1muirlRDkqiswvy_NRZ3Yh955hx-PF6_HhssUYiSJj8o/edit?usp=sharing"",""กองทุน!H94"")"),72)</f>
        <v>72</v>
      </c>
      <c r="J524" s="214">
        <f ca="1">IFERROR(__xludf.DUMMYFUNCTION("IMPORTRANGE(""https://docs.google.com/spreadsheets/d/1muirlRDkqiswvy_NRZ3Yh955hx-PF6_HhssUYiSJj8o/edit?usp=sharing"",""กองทุน!J94"")"),32)</f>
        <v>32</v>
      </c>
      <c r="K524" s="215">
        <f t="shared" ca="1" si="118"/>
        <v>44.444444444444443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IFERROR(__xludf.DUMMYFUNCTION("IMPORTRANGE(""https://docs.google.com/spreadsheets/d/1muirlRDkqiswvy_NRZ3Yh955hx-PF6_HhssUYiSJj8o/edit?usp=sharing"",""กองทุน!N94"")"),0)</f>
        <v>0</v>
      </c>
      <c r="J525" s="214">
        <f ca="1">IFERROR(__xludf.DUMMYFUNCTION("IMPORTRANGE(""https://docs.google.com/spreadsheets/d/1muirlRDkqiswvy_NRZ3Yh955hx-PF6_HhssUYiSJj8o/edit?usp=sharing"",""กองทุน!P94"")"),0)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IFERROR(__xludf.DUMMYFUNCTION("IMPORTRANGE(""https://docs.google.com/spreadsheets/d/1muirlRDkqiswvy_NRZ3Yh955hx-PF6_HhssUYiSJj8o/edit?usp=sharing"",""กองทุน!M94"")"),0)</f>
        <v>0</v>
      </c>
      <c r="J526" s="214">
        <f ca="1">IFERROR(__xludf.DUMMYFUNCTION("IMPORTRANGE(""https://docs.google.com/spreadsheets/d/1muirlRDkqiswvy_NRZ3Yh955hx-PF6_HhssUYiSJj8o/edit?usp=sharing"",""กองทุน!O94"")"),0)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IFERROR(__xludf.DUMMYFUNCTION("IMPORTRANGE(""https://docs.google.com/spreadsheets/d/1muirlRDkqiswvy_NRZ3Yh955hx-PF6_HhssUYiSJj8o/edit?usp=sharing"",""กองทุน!S94"")"),5000000)</f>
        <v>5000000</v>
      </c>
      <c r="J527" s="214">
        <f ca="1">IFERROR(__xludf.DUMMYFUNCTION("IMPORTRANGE(""https://docs.google.com/spreadsheets/d/1muirlRDkqiswvy_NRZ3Yh955hx-PF6_HhssUYiSJj8o/edit?usp=sharing"",""กองทุน!U94"")"),0)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IFERROR(__xludf.DUMMYFUNCTION("IMPORTRANGE(""https://docs.google.com/spreadsheets/d/1muirlRDkqiswvy_NRZ3Yh955hx-PF6_HhssUYiSJj8o/edit?usp=sharing"",""กองทุน!R94"")"),100)</f>
        <v>100</v>
      </c>
      <c r="J528" s="342">
        <f ca="1">IFERROR(__xludf.DUMMYFUNCTION("IMPORTRANGE(""https://docs.google.com/spreadsheets/d/1muirlRDkqiswvy_NRZ3Yh955hx-PF6_HhssUYiSJj8o/edit?usp=sharing"",""กองทุน!T94"")"),0)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G18" sqref="G18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25" style="1" bestFit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218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2021585</v>
      </c>
      <c r="M6" s="18">
        <f t="shared" si="0"/>
        <v>258594.16</v>
      </c>
      <c r="N6" s="19">
        <f ca="1">IF(L6&gt;0,M6*100/L6,0)</f>
        <v>12.791654073412694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1</v>
      </c>
      <c r="K9" s="44">
        <f t="shared" ref="K9:K10" ca="1" si="2">IF(I9&gt;0,J9*100/I9,0)</f>
        <v>100</v>
      </c>
      <c r="L9" s="45">
        <f ca="1">L11+L12</f>
        <v>692200</v>
      </c>
      <c r="M9" s="45">
        <f>SUM(M11:M12)</f>
        <v>60213</v>
      </c>
      <c r="N9" s="44">
        <f ca="1">IF(L9&gt;0,M9*100/L9,0)</f>
        <v>8.6987864778965616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30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IFERROR(__xludf.DUMMYFUNCTION("IMPORTRANGE(""https://docs.google.com/spreadsheets/d/1C3CXT74ZlgGe6_JY_1olB1XN4rF0dxEuIIF-xsYjHgg/edit?usp=sharing"",""พรบ!C81"")"),692200)</f>
        <v>692200</v>
      </c>
      <c r="M12" s="55">
        <f>SUM(M13:M14)</f>
        <v>60213</v>
      </c>
      <c r="N12" s="55">
        <f t="shared" ca="1" si="4"/>
        <v>8.6987864778965616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IFERROR(__xludf.DUMMYFUNCTION("IMPORTRANGE(""https://docs.google.com/spreadsheets/d/1C3CXT74ZlgGe6_JY_1olB1XN4rF0dxEuIIF-xsYjHgg/edit?usp=sharing"",""พรบ!D81"")"),320200)</f>
        <v>320200</v>
      </c>
      <c r="M13" s="59">
        <v>24344</v>
      </c>
      <c r="N13" s="58">
        <f t="shared" ca="1" si="4"/>
        <v>7.6027482823235477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IFERROR(__xludf.DUMMYFUNCTION("IMPORTRANGE(""https://docs.google.com/spreadsheets/d/1C3CXT74ZlgGe6_JY_1olB1XN4rF0dxEuIIF-xsYjHgg/edit?usp=sharing"",""พรบ!E81"")"),372000)</f>
        <v>372000</v>
      </c>
      <c r="M14" s="59">
        <v>35869</v>
      </c>
      <c r="N14" s="58">
        <f t="shared" ca="1" si="4"/>
        <v>9.6422043010752692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4"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4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4">
        <v>1</v>
      </c>
      <c r="K18" s="54"/>
      <c r="L18" s="66"/>
      <c r="M18" s="66"/>
      <c r="N18" s="66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4">
        <v>1</v>
      </c>
      <c r="K19" s="54"/>
      <c r="L19" s="66"/>
      <c r="M19" s="66"/>
      <c r="N19" s="66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1</v>
      </c>
      <c r="K20" s="85">
        <f t="shared" ref="K20:K28" ca="1" si="6">IF(I20&gt;0,J20*100/I20,0)</f>
        <v>100</v>
      </c>
      <c r="L20" s="66"/>
      <c r="M20" s="66"/>
      <c r="N20" s="66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30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IFERROR(__xludf.DUMMYFUNCTION("IMPORTRANGE(""https://docs.google.com/spreadsheets/d/1C3CXT74ZlgGe6_JY_1olB1XN4rF0dxEuIIF-xsYjHgg/edit?usp=sharing"",""พรบ!H81"")"),0)</f>
        <v>0</v>
      </c>
      <c r="J22" s="74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IFERROR(__xludf.DUMMYFUNCTION("IMPORTRANGE(""https://docs.google.com/spreadsheets/d/1C3CXT74ZlgGe6_JY_1olB1XN4rF0dxEuIIF-xsYjHgg/edit?usp=sharing"",""พรบ!I81"")"),0)</f>
        <v>0</v>
      </c>
      <c r="J23" s="74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IFERROR(__xludf.DUMMYFUNCTION("IMPORTRANGE(""https://docs.google.com/spreadsheets/d/1C3CXT74ZlgGe6_JY_1olB1XN4rF0dxEuIIF-xsYjHgg/edit?usp=sharing"",""พรบ!J81"")"),1)</f>
        <v>1</v>
      </c>
      <c r="J24" s="74">
        <v>1</v>
      </c>
      <c r="K24" s="54">
        <f t="shared" ca="1" si="6"/>
        <v>100</v>
      </c>
      <c r="L24" s="66"/>
      <c r="M24" s="66"/>
      <c r="N24" s="66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IFERROR(__xludf.DUMMYFUNCTION("IMPORTRANGE(""https://docs.google.com/spreadsheets/d/1C3CXT74ZlgGe6_JY_1olB1XN4rF0dxEuIIF-xsYjHgg/edit?usp=sharing"",""พรบ!K81"")"),30)</f>
        <v>30</v>
      </c>
      <c r="J25" s="74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IFERROR(__xludf.DUMMYFUNCTION("IMPORTRANGE(""https://docs.google.com/spreadsheets/d/1C3CXT74ZlgGe6_JY_1olB1XN4rF0dxEuIIF-xsYjHgg/edit?usp=sharing"",""พรบ!L81"")"),0)</f>
        <v>0</v>
      </c>
      <c r="J26" s="74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IFERROR(__xludf.DUMMYFUNCTION("IMPORTRANGE(""https://docs.google.com/spreadsheets/d/1C3CXT74ZlgGe6_JY_1olB1XN4rF0dxEuIIF-xsYjHgg/edit?usp=sharing"",""พรบ!M81"")"),0)</f>
        <v>0</v>
      </c>
      <c r="J27" s="74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IFERROR(__xludf.DUMMYFUNCTION("IMPORTRANGE(""https://docs.google.com/spreadsheets/d/1C3CXT74ZlgGe6_JY_1olB1XN4rF0dxEuIIF-xsYjHgg/edit?usp=sharing"",""พรบ!N81"")"),0)</f>
        <v>0</v>
      </c>
      <c r="J28" s="74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4"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90"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IFERROR(__xludf.DUMMYFUNCTION("IMPORTRANGE(""https://docs.google.com/spreadsheets/d/1C3CXT74ZlgGe6_JY_1olB1XN4rF0dxEuIIF-xsYjHgg/edit?usp=sharing"",""พรบ!O81"")"),0)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IFERROR(__xludf.DUMMYFUNCTION("IMPORTRANGE(""https://docs.google.com/spreadsheets/d/1C3CXT74ZlgGe6_JY_1olB1XN4rF0dxEuIIF-xsYjHgg/edit?usp=sharing"",""พรบ!P81"")"),0)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IFERROR(__xludf.DUMMYFUNCTION("IMPORTRANGE(""https://docs.google.com/spreadsheets/d/1C3CXT74ZlgGe6_JY_1olB1XN4rF0dxEuIIF-xsYjHgg/edit?usp=sharing"",""พรบ!Q81"")"),0)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IFERROR(__xludf.DUMMYFUNCTION("IMPORTRANGE(""https://docs.google.com/spreadsheets/d/1C3CXT74ZlgGe6_JY_1olB1XN4rF0dxEuIIF-xsYjHgg/edit?usp=sharing"",""พรบ!R81"")"),0)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IFERROR(__xludf.DUMMYFUNCTION("IMPORTRANGE(""https://docs.google.com/spreadsheets/d/1C3CXT74ZlgGe6_JY_1olB1XN4rF0dxEuIIF-xsYjHgg/edit?usp=sharing"",""พรบ!S81"")"),0)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IFERROR(__xludf.DUMMYFUNCTION("IMPORTRANGE(""https://docs.google.com/spreadsheets/d/1C3CXT74ZlgGe6_JY_1olB1XN4rF0dxEuIIF-xsYjHgg/edit?usp=sharing"",""พรบ!T81"")"),0)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IFERROR(__xludf.DUMMYFUNCTION("IMPORTRANGE(""https://docs.google.com/spreadsheets/d/1C3CXT74ZlgGe6_JY_1olB1XN4rF0dxEuIIF-xsYjHgg/edit?usp=sharing"",""พรบ!U81"")"),0)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IFERROR(__xludf.DUMMYFUNCTION("IMPORTRANGE(""https://docs.google.com/spreadsheets/d/1C3CXT74ZlgGe6_JY_1olB1XN4rF0dxEuIIF-xsYjHgg/edit?usp=sharing"",""พรบ!V81"")"),0)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IFERROR(__xludf.DUMMYFUNCTION("IMPORTRANGE(""https://docs.google.com/spreadsheets/d/1C3CXT74ZlgGe6_JY_1olB1XN4rF0dxEuIIF-xsYjHgg/edit?usp=sharing"",""พรบ!W81"")"),0)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IFERROR(__xludf.DUMMYFUNCTION("IMPORTRANGE(""https://docs.google.com/spreadsheets/d/1C3CXT74ZlgGe6_JY_1olB1XN4rF0dxEuIIF-xsYjHgg/edit?usp=sharing"",""พรบ!Y81"")"),0)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IFERROR(__xludf.DUMMYFUNCTION("IMPORTRANGE(""https://docs.google.com/spreadsheets/d/1C3CXT74ZlgGe6_JY_1olB1XN4rF0dxEuIIF-xsYjHgg/edit?usp=sharing"",""พรบ!Z81"")"),0)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IFERROR(__xludf.DUMMYFUNCTION("IMPORTRANGE(""https://docs.google.com/spreadsheets/d/1C3CXT74ZlgGe6_JY_1olB1XN4rF0dxEuIIF-xsYjHgg/edit?usp=sharing"",""พรบ!AA81"")"),0)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15</v>
      </c>
      <c r="J68" s="148">
        <f t="shared" si="15"/>
        <v>15</v>
      </c>
      <c r="K68" s="149">
        <f ca="1">IF(I68&gt;0,J68*100/I68,0)</f>
        <v>100</v>
      </c>
      <c r="L68" s="150">
        <f t="shared" ref="L68:M68" ca="1" si="16">SUM(L70:L71)</f>
        <v>70000</v>
      </c>
      <c r="M68" s="150">
        <f t="shared" si="16"/>
        <v>480</v>
      </c>
      <c r="N68" s="149">
        <f ca="1">IF(L68&gt;0,M68*100/L68,0)</f>
        <v>0.68571428571428572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70000</v>
      </c>
      <c r="M71" s="151">
        <f>SUM(M72:M73)</f>
        <v>480</v>
      </c>
      <c r="N71" s="55">
        <f t="shared" ca="1" si="17"/>
        <v>0.68571428571428572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IFERROR(__xludf.DUMMYFUNCTION("IMPORTRANGE(""https://docs.google.com/spreadsheets/d/1C3CXT74ZlgGe6_JY_1olB1XN4rF0dxEuIIF-xsYjHgg/edit?usp=sharing"",""พรบ!AD81"")"),0)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70000</v>
      </c>
      <c r="M73" s="58">
        <f t="shared" si="18"/>
        <v>480</v>
      </c>
      <c r="N73" s="58">
        <f t="shared" ca="1" si="17"/>
        <v>0.68571428571428572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IFERROR(__xludf.DUMMYFUNCTION("IMPORTRANGE(""https://docs.google.com/spreadsheets/d/1C3CXT74ZlgGe6_JY_1olB1XN4rF0dxEuIIF-xsYjHgg/edit?usp=sharing"",""พรบ!AF81"")"),7500)</f>
        <v>7500</v>
      </c>
      <c r="M77" s="59"/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IFERROR(__xludf.DUMMYFUNCTION("IMPORTRANGE(""https://docs.google.com/spreadsheets/d/1C3CXT74ZlgGe6_JY_1olB1XN4rF0dxEuIIF-xsYjHgg/edit?usp=sharing"",""พรบ!AG81"")"),4)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480</v>
      </c>
      <c r="N89" s="159">
        <f t="shared" ref="N89:N92" ca="1" si="22">+IF(L89&gt;0,M89*100/L89,0)</f>
        <v>1.7142857142857142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480</v>
      </c>
      <c r="N91" s="55">
        <f t="shared" ca="1" si="22"/>
        <v>1.7142857142857142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IFERROR(__xludf.DUMMYFUNCTION("IMPORTRANGE(""https://docs.google.com/spreadsheets/d/1C3CXT74ZlgGe6_JY_1olB1XN4rF0dxEuIIF-xsYjHgg/edit?usp=sharing"",""พรบ!AH81"")"),28000)</f>
        <v>28000</v>
      </c>
      <c r="M92" s="59">
        <v>480</v>
      </c>
      <c r="N92" s="58">
        <f t="shared" ca="1" si="22"/>
        <v>1.7142857142857142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IFERROR(__xludf.DUMMYFUNCTION("IMPORTRANGE(""https://docs.google.com/spreadsheets/d/1C3CXT74ZlgGe6_JY_1olB1XN4rF0dxEuIIF-xsYjHgg/edit?usp=sharing"",""พรบ!AI81"")"),2)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IFERROR(__xludf.DUMMYFUNCTION("IMPORTRANGE(""https://docs.google.com/spreadsheets/d/1C3CXT74ZlgGe6_JY_1olB1XN4rF0dxEuIIF-xsYjHgg/edit?usp=sharing"",""กปร!C81"")"),24000)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IFERROR(__xludf.DUMMYFUNCTION("IMPORTRANGE(""https://docs.google.com/spreadsheets/d/1C3CXT74ZlgGe6_JY_1olB1XN4rF0dxEuIIF-xsYjHgg/edit?usp=sharing"",""พรบ!AJ81"")"),0)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IFERROR(__xludf.DUMMYFUNCTION("IMPORTRANGE(""https://docs.google.com/spreadsheets/d/1C3CXT74ZlgGe6_JY_1olB1XN4rF0dxEuIIF-xsYjHgg/edit?usp=sharing"",""พรบ!AK81"")"),0)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IFERROR(__xludf.DUMMYFUNCTION("IMPORTRANGE(""https://docs.google.com/spreadsheets/d/1C3CXT74ZlgGe6_JY_1olB1XN4rF0dxEuIIF-xsYjHgg/edit?usp=sharing"",""กปร!D81"")"),0)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IFERROR(__xludf.DUMMYFUNCTION("IMPORTRANGE(""https://docs.google.com/spreadsheets/d/1C3CXT74ZlgGe6_JY_1olB1XN4rF0dxEuIIF-xsYjHgg/edit?usp=sharing"",""พรบ!AL81"")"),0)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IFERROR(__xludf.DUMMYFUNCTION("IMPORTRANGE(""https://docs.google.com/spreadsheets/d/1C3CXT74ZlgGe6_JY_1olB1XN4rF0dxEuIIF-xsYjHgg/edit?usp=sharing"",""กปร!E81"")"),0)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50000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34500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IFERROR(__xludf.DUMMYFUNCTION("IMPORTRANGE(""https://docs.google.com/spreadsheets/d/1C3CXT74ZlgGe6_JY_1olB1XN4rF0dxEuIIF-xsYjHgg/edit?usp=sharing"",""พรบ!AM81"")"),34500)</f>
        <v>34500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1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1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IFERROR(__xludf.DUMMYFUNCTION("IMPORTRANGE(""https://docs.google.com/spreadsheets/d/1C3CXT74ZlgGe6_JY_1olB1XN4rF0dxEuIIF-xsYjHgg/edit?usp=sharing"",""พรบ!AO81"")"),50000)</f>
        <v>50000</v>
      </c>
      <c r="J124" s="74">
        <v>1</v>
      </c>
      <c r="K124" s="54">
        <f t="shared" ref="K124:K126" ca="1" si="30">IF(I124&gt;0,J124*100/I124,0)</f>
        <v>2E-3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IFERROR(__xludf.DUMMYFUNCTION("IMPORTRANGE(""https://docs.google.com/spreadsheets/d/1C3CXT74ZlgGe6_JY_1olB1XN4rF0dxEuIIF-xsYjHgg/edit?usp=sharing"",""พรบ!AP81"")"),50000)</f>
        <v>50000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IFERROR(__xludf.DUMMYFUNCTION("IMPORTRANGE(""https://docs.google.com/spreadsheets/d/1C3CXT74ZlgGe6_JY_1olB1XN4rF0dxEuIIF-xsYjHgg/edit?usp=sharing"",""กปร!F81"")"),13500)</f>
        <v>13500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IFERROR(__xludf.DUMMYFUNCTION("IMPORTRANGE(""https://docs.google.com/spreadsheets/d/1C3CXT74ZlgGe6_JY_1olB1XN4rF0dxEuIIF-xsYjHgg/edit?usp=sharing"",""พรบ!AQ81"")"),15)</f>
        <v>15</v>
      </c>
      <c r="J126" s="74">
        <v>15</v>
      </c>
      <c r="K126" s="54">
        <f t="shared" ca="1" si="30"/>
        <v>100</v>
      </c>
      <c r="L126" s="58">
        <f ca="1">IFERROR(__xludf.DUMMYFUNCTION("IMPORTRANGE(""https://docs.google.com/spreadsheets/d/1C3CXT74ZlgGe6_JY_1olB1XN4rF0dxEuIIF-xsYjHgg/edit?usp=sharing"",""กปร!G81"")"),15000)</f>
        <v>15000</v>
      </c>
      <c r="M126" s="383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IFERROR(__xludf.DUMMYFUNCTION("IMPORTRANGE(""https://docs.google.com/spreadsheets/d/1C3CXT74ZlgGe6_JY_1olB1XN4rF0dxEuIIF-xsYjHgg/edit?usp=sharing"",""พรบ!AR81"")"),0)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IFERROR(__xludf.DUMMYFUNCTION("IMPORTRANGE(""https://docs.google.com/spreadsheets/d/1C3CXT74ZlgGe6_JY_1olB1XN4rF0dxEuIIF-xsYjHgg/edit?usp=sharing"",""พรบ!AS81"")"),0)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IFERROR(__xludf.DUMMYFUNCTION("IMPORTRANGE(""https://docs.google.com/spreadsheets/d/1C3CXT74ZlgGe6_JY_1olB1XN4rF0dxEuIIF-xsYjHgg/edit?usp=sharing"",""กปร!H81"")"),0)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IFERROR(__xludf.DUMMYFUNCTION("IMPORTRANGE(""https://docs.google.com/spreadsheets/d/1C3CXT74ZlgGe6_JY_1olB1XN4rF0dxEuIIF-xsYjHgg/edit?usp=sharing"",""พรบ!AT81"")"),0)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IFERROR(__xludf.DUMMYFUNCTION("IMPORTRANGE(""https://docs.google.com/spreadsheets/d/1C3CXT74ZlgGe6_JY_1olB1XN4rF0dxEuIIF-xsYjHgg/edit?usp=sharing"",""กปร!I81"")"),0)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IFERROR(__xludf.DUMMYFUNCTION("IMPORTRANGE(""https://docs.google.com/spreadsheets/d/1C3CXT74ZlgGe6_JY_1olB1XN4rF0dxEuIIF-xsYjHgg/edit?usp=sharing"",""พรบ!AU81"")"),0)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IFERROR(__xludf.DUMMYFUNCTION("IMPORTRANGE(""https://docs.google.com/spreadsheets/d/1C3CXT74ZlgGe6_JY_1olB1XN4rF0dxEuIIF-xsYjHgg/edit?usp=sharing"",""กปร!J81"")"),0)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13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19295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IFERROR(__xludf.DUMMYFUNCTION("IMPORTRANGE(""https://docs.google.com/spreadsheets/d/1C3CXT74ZlgGe6_JY_1olB1XN4rF0dxEuIIF-xsYjHgg/edit?usp=sharing"",""พรบ!AY81"")"),19295)</f>
        <v>19295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13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IFERROR(__xludf.DUMMYFUNCTION("IMPORTRANGE(""https://docs.google.com/spreadsheets/d/1C3CXT74ZlgGe6_JY_1olB1XN4rF0dxEuIIF-xsYjHgg/edit?usp=sharing"",""พรบ!BA81"")"),13)</f>
        <v>13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IFERROR(__xludf.DUMMYFUNCTION("IMPORTRANGE(""https://docs.google.com/spreadsheets/d/1C3CXT74ZlgGe6_JY_1olB1XN4rF0dxEuIIF-xsYjHgg/edit?usp=sharing"",""พรบ!BD81"")"),0)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IFERROR(__xludf.DUMMYFUNCTION("IMPORTRANGE(""https://docs.google.com/spreadsheets/d/1C3CXT74ZlgGe6_JY_1olB1XN4rF0dxEuIIF-xsYjHgg/edit?usp=sharing"",""พรบ!BE81"")"),0)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IFERROR(__xludf.DUMMYFUNCTION("IMPORTRANGE(""https://docs.google.com/spreadsheets/d/1C3CXT74ZlgGe6_JY_1olB1XN4rF0dxEuIIF-xsYjHgg/edit?usp=sharing"",""พรบ!BF81"")"),0)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IFERROR(__xludf.DUMMYFUNCTION("IMPORTRANGE(""https://docs.google.com/spreadsheets/d/1C3CXT74ZlgGe6_JY_1olB1XN4rF0dxEuIIF-xsYjHgg/edit?usp=sharing"",""พรบ!BG81"")"),0)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IFERROR(__xludf.DUMMYFUNCTION("IMPORTRANGE(""https://docs.google.com/spreadsheets/d/1C3CXT74ZlgGe6_JY_1olB1XN4rF0dxEuIIF-xsYjHgg/edit?usp=sharing"",""พรบ!BH81"")"),0)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IFERROR(__xludf.DUMMYFUNCTION("IMPORTRANGE(""https://docs.google.com/spreadsheets/d/1C3CXT74ZlgGe6_JY_1olB1XN4rF0dxEuIIF-xsYjHgg/edit?usp=sharing"",""พรบ!BI81"")"),0)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IFERROR(__xludf.DUMMYFUNCTION("IMPORTRANGE(""https://docs.google.com/spreadsheets/d/1C3CXT74ZlgGe6_JY_1olB1XN4rF0dxEuIIF-xsYjHgg/edit?usp=sharing"",""พรบ!BK81"")"),0)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IFERROR(__xludf.DUMMYFUNCTION("IMPORTRANGE(""https://docs.google.com/spreadsheets/d/1C3CXT74ZlgGe6_JY_1olB1XN4rF0dxEuIIF-xsYjHgg/edit?usp=sharing"",""พรบ!BL81"")"),0)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IFERROR(__xludf.DUMMYFUNCTION("IMPORTRANGE(""https://docs.google.com/spreadsheets/d/1C3CXT74ZlgGe6_JY_1olB1XN4rF0dxEuIIF-xsYjHgg/edit?usp=sharing"",""พรบ!BM81"")"),0)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65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195740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195740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IFERROR(__xludf.DUMMYFUNCTION("IMPORTRANGE(""https://docs.google.com/spreadsheets/d/1C3CXT74ZlgGe6_JY_1olB1XN4rF0dxEuIIF-xsYjHgg/edit?usp=sharing"",""พรบ!BP81"")"),195740)</f>
        <v>195740</v>
      </c>
      <c r="M203" s="59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4">
        <v>0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4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4">
        <v>0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4">
        <v>0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IFERROR(__xludf.DUMMYFUNCTION("IMPORTRANGE(""https://docs.google.com/spreadsheets/d/1C3CXT74ZlgGe6_JY_1olB1XN4rF0dxEuIIF-xsYjHgg/edit?usp=sharing"",""พรบ!BQ81"")"),65)</f>
        <v>65</v>
      </c>
      <c r="J209" s="74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IFERROR(__xludf.DUMMYFUNCTION("IMPORTRANGE(""https://docs.google.com/spreadsheets/d/1C3CXT74ZlgGe6_JY_1olB1XN4rF0dxEuIIF-xsYjHgg/edit?usp=sharing"",""พรบ!BR81"")"),65)</f>
        <v>65</v>
      </c>
      <c r="J211" s="74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4"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201"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2</v>
      </c>
      <c r="J214" s="209">
        <f t="shared" si="47"/>
        <v>1</v>
      </c>
      <c r="K214" s="210">
        <f ca="1">IF(I214&gt;0,J214*100/I214,0)</f>
        <v>50</v>
      </c>
      <c r="L214" s="211">
        <f ca="1">L215+L216</f>
        <v>243600</v>
      </c>
      <c r="M214" s="211">
        <f>SUM(M215:M216)</f>
        <v>116377</v>
      </c>
      <c r="N214" s="210">
        <f ca="1">IF(L214&gt;0,M214*100/L214,0)</f>
        <v>47.773809523809526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243600</v>
      </c>
      <c r="M216" s="58">
        <f t="shared" si="49"/>
        <v>116377</v>
      </c>
      <c r="N216" s="58">
        <f t="shared" ca="1" si="48"/>
        <v>47.773809523809526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IFERROR(__xludf.DUMMYFUNCTION("IMPORTRANGE(""https://docs.google.com/spreadsheets/d/1C3CXT74ZlgGe6_JY_1olB1XN4rF0dxEuIIF-xsYjHgg/edit?usp=sharing"",""พรบ!BU81"")"),243600)</f>
        <v>243600</v>
      </c>
      <c r="M218" s="59">
        <v>116377</v>
      </c>
      <c r="N218" s="58">
        <f t="shared" ca="1" si="48"/>
        <v>47.773809523809526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4"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4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4">
        <v>1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4">
        <v>0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IFERROR(__xludf.DUMMYFUNCTION("IMPORTRANGE(""https://docs.google.com/spreadsheets/d/1C3CXT74ZlgGe6_JY_1olB1XN4rF0dxEuIIF-xsYjHgg/edit?usp=sharing"",""พรบ!BV81"")"),2)</f>
        <v>2</v>
      </c>
      <c r="J224" s="74">
        <v>1</v>
      </c>
      <c r="K224" s="54">
        <f ca="1">IF(I224&gt;0,J224*100/I224,0)</f>
        <v>50</v>
      </c>
      <c r="L224" s="66"/>
      <c r="M224" s="66"/>
      <c r="N224" s="66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4"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90"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280</v>
      </c>
      <c r="J228" s="212">
        <f ca="1">J240</f>
        <v>21</v>
      </c>
      <c r="K228" s="192">
        <f ca="1">IF(I228&gt;0,J228*100/I228,0)</f>
        <v>7.5</v>
      </c>
      <c r="L228" s="193">
        <f ca="1">L229+L230</f>
        <v>800750</v>
      </c>
      <c r="M228" s="193">
        <f>SUM(M229:M230)</f>
        <v>81524.160000000003</v>
      </c>
      <c r="N228" s="192">
        <f ca="1">IF(L228&gt;0,M228*100/L228,0)</f>
        <v>10.180975335622854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800750</v>
      </c>
      <c r="M230" s="58">
        <f t="shared" si="51"/>
        <v>81524.160000000003</v>
      </c>
      <c r="N230" s="58">
        <f t="shared" ca="1" si="50"/>
        <v>10.180975335622854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IFERROR(__xludf.DUMMYFUNCTION("IMPORTRANGE(""https://docs.google.com/spreadsheets/d/1C3CXT74ZlgGe6_JY_1olB1XN4rF0dxEuIIF-xsYjHgg/edit?usp=sharing"",""พรบ!BX81"")"),306000)</f>
        <v>306000</v>
      </c>
      <c r="M231" s="59">
        <v>47616.11</v>
      </c>
      <c r="N231" s="58">
        <f t="shared" ca="1" si="50"/>
        <v>15.560820261437909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IFERROR(__xludf.DUMMYFUNCTION("IMPORTRANGE(""https://docs.google.com/spreadsheets/d/1C3CXT74ZlgGe6_JY_1olB1XN4rF0dxEuIIF-xsYjHgg/edit?usp=sharing"",""พรบ!BY81"")"),494750)</f>
        <v>494750</v>
      </c>
      <c r="M232" s="59">
        <v>33908.050000000003</v>
      </c>
      <c r="N232" s="58">
        <f t="shared" ca="1" si="50"/>
        <v>6.8535725113693795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IFERROR(__xludf.DUMMYFUNCTION("IMPORTRANGE(""https://docs.google.com/spreadsheets/d/1AGHcLOeeYFL3K4b9R1dSzyJy00PE_ra89DNTVfnxSWM/edit?usp=sharing"",""รวมที่ทำกิน!J70"")"),66)</f>
        <v>66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103</v>
      </c>
      <c r="I235" s="73">
        <f ca="1">IFERROR(__xludf.DUMMYFUNCTION("IMPORTRANGE(""https://docs.google.com/spreadsheets/d/1C3CXT74ZlgGe6_JY_1olB1XN4rF0dxEuIIF-xsYjHgg/edit?usp=sharing"",""พรบ!BZ81"")"),3200)</f>
        <v>3200</v>
      </c>
      <c r="J235" s="73">
        <f ca="1">IFERROR(__xludf.DUMMYFUNCTION("IMPORTRANGE(""https://docs.google.com/spreadsheets/d/1AGHcLOeeYFL3K4b9R1dSzyJy00PE_ra89DNTVfnxSWM/edit?usp=sharing"",""รวมที่ทำกิน!L70"")"),1389.91999999999)</f>
        <v>1389.9199999999901</v>
      </c>
      <c r="K235" s="215">
        <f t="shared" ca="1" si="52"/>
        <v>43.43499999999969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IFERROR(__xludf.DUMMYFUNCTION("IMPORTRANGE(""https://docs.google.com/spreadsheets/d/1C3CXT74ZlgGe6_JY_1olB1XN4rF0dxEuIIF-xsYjHgg/edit?usp=sharing"",""พรบ!CA81"")"),280)</f>
        <v>280</v>
      </c>
      <c r="J236" s="73">
        <f ca="1">IFERROR(__xludf.DUMMYFUNCTION("IMPORTRANGE(""https://docs.google.com/spreadsheets/d/1AGHcLOeeYFL3K4b9R1dSzyJy00PE_ra89DNTVfnxSWM/edit?usp=sharing"",""รวมที่ทำกิน!O70"")"),51)</f>
        <v>51</v>
      </c>
      <c r="K236" s="215">
        <f t="shared" ca="1" si="52"/>
        <v>18.214285714285715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IFERROR(__xludf.DUMMYFUNCTION("IMPORTRANGE(""https://docs.google.com/spreadsheets/d/1AGHcLOeeYFL3K4b9R1dSzyJy00PE_ra89DNTVfnxSWM/edit?usp=sharing"",""รวมที่ทำกิน!Q70"")"),849.13)</f>
        <v>849.13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IFERROR(__xludf.DUMMYFUNCTION("IMPORTRANGE(""https://docs.google.com/spreadsheets/d/1C3CXT74ZlgGe6_JY_1olB1XN4rF0dxEuIIF-xsYjHgg/edit?usp=sharing"",""พรบ!CB81"")"),280)</f>
        <v>280</v>
      </c>
      <c r="J238" s="73">
        <f ca="1">IFERROR(__xludf.DUMMYFUNCTION("IMPORTRANGE(""https://docs.google.com/spreadsheets/d/1AGHcLOeeYFL3K4b9R1dSzyJy00PE_ra89DNTVfnxSWM/edit?usp=sharing"",""รวมที่ทำกิน!S70"")"),0)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IFERROR(__xludf.DUMMYFUNCTION("IMPORTRANGE(""https://docs.google.com/spreadsheets/d/1AGHcLOeeYFL3K4b9R1dSzyJy00PE_ra89DNTVfnxSWM/edit?usp=sharing"",""รวมที่ทำกิน!U70"")"),0)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IFERROR(__xludf.DUMMYFUNCTION("IMPORTRANGE(""https://docs.google.com/spreadsheets/d/1C3CXT74ZlgGe6_JY_1olB1XN4rF0dxEuIIF-xsYjHgg/edit?usp=sharing"",""พรบ!CC81"")"),280)</f>
        <v>280</v>
      </c>
      <c r="J240" s="73">
        <f ca="1">IFERROR(__xludf.DUMMYFUNCTION("IMPORTRANGE(""https://docs.google.com/spreadsheets/d/1AGHcLOeeYFL3K4b9R1dSzyJy00PE_ra89DNTVfnxSWM/edit?usp=sharing"",""รวมที่ทำกิน!W70"")"),21)</f>
        <v>21</v>
      </c>
      <c r="K240" s="215">
        <f t="shared" ca="1" si="52"/>
        <v>7.5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IFERROR(__xludf.DUMMYFUNCTION("IMPORTRANGE(""https://docs.google.com/spreadsheets/d/1AGHcLOeeYFL3K4b9R1dSzyJy00PE_ra89DNTVfnxSWM/edit?usp=sharing"",""รวมที่ทำกิน!Y70"")"),296.35)</f>
        <v>296.35000000000002</v>
      </c>
      <c r="K241" s="215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1199173</v>
      </c>
      <c r="M242" s="230">
        <f t="shared" si="53"/>
        <v>12347.76</v>
      </c>
      <c r="N242" s="230">
        <f ca="1">+IF(L242&gt;0,M242*100/L242,0)</f>
        <v>1.0296896277684704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73" t="s">
        <v>21</v>
      </c>
      <c r="J246" s="73"/>
      <c r="K246" s="250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73"/>
      <c r="J247" s="73"/>
      <c r="K247" s="250"/>
      <c r="L247" s="55">
        <f t="shared" ref="L247:M247" ca="1" si="59">SUM(L248:L249)</f>
        <v>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73"/>
      <c r="J248" s="73"/>
      <c r="K248" s="250"/>
      <c r="L248" s="58">
        <f ca="1">IFERROR(__xludf.DUMMYFUNCTION("IMPORTRANGE(""https://docs.google.com/spreadsheets/d/1C3CXT74ZlgGe6_JY_1olB1XN4rF0dxEuIIF-xsYjHgg/edit?usp=sharing"",""งบกองทุน!d81"")"),0)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73"/>
      <c r="J249" s="73"/>
      <c r="K249" s="250"/>
      <c r="L249" s="58">
        <f ca="1">IFERROR(__xludf.DUMMYFUNCTION("IMPORTRANGE(""https://docs.google.com/spreadsheets/d/1C3CXT74ZlgGe6_JY_1olB1XN4rF0dxEuIIF-xsYjHgg/edit?usp=sharing"",""งบกองทุน!e81"")"),0)</f>
        <v>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8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8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8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8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73"/>
      <c r="J254" s="73"/>
      <c r="K254" s="250"/>
      <c r="L254" s="58"/>
      <c r="M254" s="58"/>
      <c r="N254" s="58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3">
        <v>0</v>
      </c>
      <c r="K255" s="250"/>
      <c r="L255" s="58"/>
      <c r="M255" s="58"/>
      <c r="N255" s="58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3">
        <v>0</v>
      </c>
      <c r="K256" s="250"/>
      <c r="L256" s="58" t="s">
        <v>21</v>
      </c>
      <c r="M256" s="58" t="s">
        <v>21</v>
      </c>
      <c r="N256" s="58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3">
        <v>0</v>
      </c>
      <c r="K257" s="250"/>
      <c r="L257" s="58"/>
      <c r="M257" s="58"/>
      <c r="N257" s="58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3">
        <v>0</v>
      </c>
      <c r="K258" s="250"/>
      <c r="L258" s="58"/>
      <c r="M258" s="58"/>
      <c r="N258" s="58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250"/>
      <c r="L259" s="58"/>
      <c r="M259" s="58"/>
      <c r="N259" s="58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IFERROR(__xludf.DUMMYFUNCTION("IMPORTRANGE(""https://docs.google.com/spreadsheets/d/1C3CXT74ZlgGe6_JY_1olB1XN4rF0dxEuIIF-xsYjHgg/edit?usp=sharing"",""งบกองทุน!f81"")"),0)</f>
        <v>0</v>
      </c>
      <c r="J260" s="73">
        <v>0</v>
      </c>
      <c r="K260" s="250">
        <f ca="1">IF(I260&gt;0,J260*100/I260,0)</f>
        <v>0</v>
      </c>
      <c r="L260" s="58"/>
      <c r="M260" s="58"/>
      <c r="N260" s="58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73"/>
      <c r="J261" s="73"/>
      <c r="K261" s="250"/>
      <c r="L261" s="58"/>
      <c r="M261" s="58"/>
      <c r="N261" s="58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0</v>
      </c>
      <c r="J262" s="73">
        <f t="shared" si="60"/>
        <v>0</v>
      </c>
      <c r="K262" s="250">
        <f t="shared" ref="K262:K268" ca="1" si="61">IF(I262&gt;0,J262*100/I262,0)</f>
        <v>0</v>
      </c>
      <c r="L262" s="58"/>
      <c r="M262" s="58"/>
      <c r="N262" s="58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73">
        <f ca="1">IFERROR(__xludf.DUMMYFUNCTION("IMPORTRANGE(""https://docs.google.com/spreadsheets/d/1C3CXT74ZlgGe6_JY_1olB1XN4rF0dxEuIIF-xsYjHgg/edit?usp=sharing"",""งบกองทุน!H81"")"),0)</f>
        <v>0</v>
      </c>
      <c r="J263" s="73">
        <f>J267</f>
        <v>0</v>
      </c>
      <c r="K263" s="250">
        <f t="shared" ca="1" si="61"/>
        <v>0</v>
      </c>
      <c r="L263" s="58"/>
      <c r="M263" s="58"/>
      <c r="N263" s="58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73">
        <f ca="1">IFERROR(__xludf.DUMMYFUNCTION("IMPORTRANGE(""https://docs.google.com/spreadsheets/d/1C3CXT74ZlgGe6_JY_1olB1XN4rF0dxEuIIF-xsYjHgg/edit?usp=sharing"",""งบกองทุน!i81"")"),0)</f>
        <v>0</v>
      </c>
      <c r="J264" s="73">
        <v>0</v>
      </c>
      <c r="K264" s="250">
        <f t="shared" ca="1" si="61"/>
        <v>0</v>
      </c>
      <c r="L264" s="58"/>
      <c r="M264" s="58"/>
      <c r="N264" s="58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73">
        <f ca="1">I263</f>
        <v>0</v>
      </c>
      <c r="J265" s="73">
        <v>0</v>
      </c>
      <c r="K265" s="250">
        <f t="shared" ca="1" si="61"/>
        <v>0</v>
      </c>
      <c r="L265" s="58"/>
      <c r="M265" s="58"/>
      <c r="N265" s="58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73">
        <f ca="1">IFERROR(__xludf.DUMMYFUNCTION("IMPORTRANGE(""https://docs.google.com/spreadsheets/d/1C3CXT74ZlgGe6_JY_1olB1XN4rF0dxEuIIF-xsYjHgg/edit?usp=sharing"",""งบกองทุน!k81"")"),0)</f>
        <v>0</v>
      </c>
      <c r="J266" s="73">
        <v>0</v>
      </c>
      <c r="K266" s="250">
        <f t="shared" ca="1" si="61"/>
        <v>0</v>
      </c>
      <c r="L266" s="58"/>
      <c r="M266" s="58"/>
      <c r="N266" s="58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73">
        <f ca="1">I263</f>
        <v>0</v>
      </c>
      <c r="J267" s="73">
        <v>0</v>
      </c>
      <c r="K267" s="250">
        <f t="shared" ca="1" si="61"/>
        <v>0</v>
      </c>
      <c r="L267" s="58"/>
      <c r="M267" s="58"/>
      <c r="N267" s="58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IFERROR(__xludf.DUMMYFUNCTION("IMPORTRANGE(""https://docs.google.com/spreadsheets/d/1C3CXT74ZlgGe6_JY_1olB1XN4rF0dxEuIIF-xsYjHgg/edit?usp=sharing"",""งบกองทุน!m81"")"),0)</f>
        <v>0</v>
      </c>
      <c r="J268" s="73">
        <v>0</v>
      </c>
      <c r="K268" s="250">
        <f t="shared" ca="1" si="61"/>
        <v>0</v>
      </c>
      <c r="L268" s="58"/>
      <c r="M268" s="58"/>
      <c r="N268" s="58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250"/>
      <c r="L269" s="58"/>
      <c r="M269" s="58"/>
      <c r="N269" s="58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0</v>
      </c>
      <c r="J270" s="73">
        <f t="shared" si="62"/>
        <v>0</v>
      </c>
      <c r="K270" s="250">
        <f t="shared" ref="K270:K272" ca="1" si="63">IF(I270&gt;0,J270*100/I270,0)</f>
        <v>0</v>
      </c>
      <c r="L270" s="58"/>
      <c r="M270" s="58"/>
      <c r="N270" s="58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IFERROR(__xludf.DUMMYFUNCTION("IMPORTRANGE(""https://docs.google.com/spreadsheets/d/1C3CXT74ZlgGe6_JY_1olB1XN4rF0dxEuIIF-xsYjHgg/edit?usp=sharing"",""งบกองทุน!o81"")"),0)</f>
        <v>0</v>
      </c>
      <c r="J271" s="73">
        <v>0</v>
      </c>
      <c r="K271" s="250">
        <f t="shared" ca="1" si="63"/>
        <v>0</v>
      </c>
      <c r="L271" s="58"/>
      <c r="M271" s="58"/>
      <c r="N271" s="58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IFERROR(__xludf.DUMMYFUNCTION("IMPORTRANGE(""https://docs.google.com/spreadsheets/d/1C3CXT74ZlgGe6_JY_1olB1XN4rF0dxEuIIF-xsYjHgg/edit?usp=sharing"",""งบกองทุน!p81"")"),0)</f>
        <v>0</v>
      </c>
      <c r="J272" s="73">
        <v>0</v>
      </c>
      <c r="K272" s="250">
        <f t="shared" ca="1" si="63"/>
        <v>0</v>
      </c>
      <c r="L272" s="58"/>
      <c r="M272" s="58"/>
      <c r="N272" s="58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3">
        <v>0</v>
      </c>
      <c r="K273" s="250"/>
      <c r="L273" s="58"/>
      <c r="M273" s="58"/>
      <c r="N273" s="58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380">
        <v>0</v>
      </c>
      <c r="K274" s="250"/>
      <c r="L274" s="58"/>
      <c r="M274" s="58"/>
      <c r="N274" s="58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300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293900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30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293900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IFERROR(__xludf.DUMMYFUNCTION("IMPORTRANGE(""https://docs.google.com/spreadsheets/d/1C3CXT74ZlgGe6_JY_1olB1XN4rF0dxEuIIF-xsYjHgg/edit?usp=sharing"",""งบกองทุน!r81"")"),0)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IFERROR(__xludf.DUMMYFUNCTION("IMPORTRANGE(""https://docs.google.com/spreadsheets/d/1C3CXT74ZlgGe6_JY_1olB1XN4rF0dxEuIIF-xsYjHgg/edit?usp=sharing"",""งบกองทุน!s81"")"),293900)</f>
        <v>293900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1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/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0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IFERROR(__xludf.DUMMYFUNCTION("IMPORTRANGE(""https://docs.google.com/spreadsheets/d/1C3CXT74ZlgGe6_JY_1olB1XN4rF0dxEuIIF-xsYjHgg/edit?usp=sharing"",""งบกองทุน!v81"")"),30)</f>
        <v>30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IFERROR(__xludf.DUMMYFUNCTION("IMPORTRANGE(""https://docs.google.com/spreadsheets/d/1C3CXT74ZlgGe6_JY_1olB1XN4rF0dxEuIIF-xsYjHgg/edit?usp=sharing"",""งบกองทุน!w81"")"),300)</f>
        <v>300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IFERROR(__xludf.DUMMYFUNCTION("IMPORTRANGE(""https://docs.google.com/spreadsheets/d/1C3CXT74ZlgGe6_JY_1olB1XN4rF0dxEuIIF-xsYjHgg/edit?usp=sharing"",""งบกองทุน!x81"")"),30)</f>
        <v>30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105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131710</v>
      </c>
      <c r="M296" s="246">
        <f t="shared" si="70"/>
        <v>2820</v>
      </c>
      <c r="N296" s="246">
        <f ca="1">+IF(L296&gt;0,M296*100/L296,0)</f>
        <v>2.1410674967732137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131710</v>
      </c>
      <c r="M299" s="58">
        <f t="shared" si="72"/>
        <v>2820</v>
      </c>
      <c r="N299" s="58">
        <f t="shared" ca="1" si="71"/>
        <v>2.1410674967732137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IFERROR(__xludf.DUMMYFUNCTION("IMPORTRANGE(""https://docs.google.com/spreadsheets/d/1C3CXT74ZlgGe6_JY_1olB1XN4rF0dxEuIIF-xsYjHgg/edit?usp=sharing"",""งบกองทุน!z81"")"),0)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IFERROR(__xludf.DUMMYFUNCTION("IMPORTRANGE(""https://docs.google.com/spreadsheets/d/1C3CXT74ZlgGe6_JY_1olB1XN4rF0dxEuIIF-xsYjHgg/edit?usp=sharing"",""งบกองทุน!aa81"")"),131710)</f>
        <v>131710</v>
      </c>
      <c r="M301" s="58">
        <f>SUM(M302:M305)</f>
        <v>2820</v>
      </c>
      <c r="N301" s="58">
        <f t="shared" ca="1" si="71"/>
        <v>2.1410674967732137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2820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/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35</v>
      </c>
      <c r="J311" s="84">
        <f t="shared" ca="1" si="73"/>
        <v>0</v>
      </c>
      <c r="K311" s="85">
        <f t="shared" ref="K311:K327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IFERROR(__xludf.DUMMYFUNCTION("IMPORTRANGE(""https://docs.google.com/spreadsheets/d/1C3CXT74ZlgGe6_JY_1olB1XN4rF0dxEuIIF-xsYjHgg/edit?usp=sharing"",""งบกองทุน!ae81"")"),10)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IFERROR(__xludf.DUMMYFUNCTION("IMPORTRANGE(""https://docs.google.com/spreadsheets/d/1C3CXT74ZlgGe6_JY_1olB1XN4rF0dxEuIIF-xsYjHgg/edit?usp=sharing"",""งบกองทุน!ad81"")"),30)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IFERROR(__xludf.DUMMYFUNCTION("IMPORTRANGE(""https://docs.google.com/spreadsheets/d/1C3CXT74ZlgGe6_JY_1olB1XN4rF0dxEuIIF-xsYjHgg/edit?usp=sharing"",""งบกองทุน!af81"")"),10)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IFERROR(__xludf.DUMMYFUNCTION("IMPORTRANGE(""https://docs.google.com/spreadsheets/d/1C3CXT74ZlgGe6_JY_1olB1XN4rF0dxEuIIF-xsYjHgg/edit?usp=sharing"",""งบกองทุน!ag81"")"),10)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IFERROR(__xludf.DUMMYFUNCTION("IMPORTRANGE(""https://docs.google.com/spreadsheets/d/1C3CXT74ZlgGe6_JY_1olB1XN4rF0dxEuIIF-xsYjHgg/edit?usp=sharing"",""งบกองทุน!ai81"")"),15)</f>
        <v>15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IFERROR(__xludf.DUMMYFUNCTION("IMPORTRANGE(""https://docs.google.com/spreadsheets/d/1C3CXT74ZlgGe6_JY_1olB1XN4rF0dxEuIIF-xsYjHgg/edit?usp=sharing"",""งบกองทุน!ah81"")"),45)</f>
        <v>45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IFERROR(__xludf.DUMMYFUNCTION("IMPORTRANGE(""https://docs.google.com/spreadsheets/d/1C3CXT74ZlgGe6_JY_1olB1XN4rF0dxEuIIF-xsYjHgg/edit?usp=sharing"",""งบกองทุน!aj81"")"),15)</f>
        <v>15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IFERROR(__xludf.DUMMYFUNCTION("IMPORTRANGE(""https://docs.google.com/spreadsheets/d/1C3CXT74ZlgGe6_JY_1olB1XN4rF0dxEuIIF-xsYjHgg/edit?usp=sharing"",""งบกองทุน!ak81"")"),15)</f>
        <v>15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IFERROR(__xludf.DUMMYFUNCTION("IMPORTRANGE(""https://docs.google.com/spreadsheets/d/1C3CXT74ZlgGe6_JY_1olB1XN4rF0dxEuIIF-xsYjHgg/edit?usp=sharing"",""งบกองทุน!al81"")"),15)</f>
        <v>15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IFERROR(__xludf.DUMMYFUNCTION("IMPORTRANGE(""https://docs.google.com/spreadsheets/d/1C3CXT74ZlgGe6_JY_1olB1XN4rF0dxEuIIF-xsYjHgg/edit?usp=sharing"",""งบกองทุน!an81"")"),10)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IFERROR(__xludf.DUMMYFUNCTION("IMPORTRANGE(""https://docs.google.com/spreadsheets/d/1C3CXT74ZlgGe6_JY_1olB1XN4rF0dxEuIIF-xsYjHgg/edit?usp=sharing"",""งบกองทุน!am81"")"),30)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IFERROR(__xludf.DUMMYFUNCTION("IMPORTRANGE(""https://docs.google.com/spreadsheets/d/1C3CXT74ZlgGe6_JY_1olB1XN4rF0dxEuIIF-xsYjHgg/edit?usp=sharing"",""งบกองทุน!ao81"")"),10)</f>
        <v>10</v>
      </c>
      <c r="J323" s="390">
        <v>0</v>
      </c>
      <c r="K323" s="54">
        <f t="shared" ca="1" si="74"/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IFERROR(__xludf.DUMMYFUNCTION("IMPORTRANGE(""https://docs.google.com/spreadsheets/d/1C3CXT74ZlgGe6_JY_1olB1XN4rF0dxEuIIF-xsYjHgg/edit?usp=sharing"",""งบกองทุน!ap81"")"),10)</f>
        <v>10</v>
      </c>
      <c r="J324" s="390">
        <v>0</v>
      </c>
      <c r="K324" s="54">
        <f t="shared" ca="1" si="74"/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25</v>
      </c>
      <c r="J325" s="388">
        <f ca="1">IF(AND(J326=I326,J327=I327),I325,0)</f>
        <v>0</v>
      </c>
      <c r="K325" s="85">
        <f t="shared" ca="1" si="74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IFERROR(__xludf.DUMMYFUNCTION("IMPORTRANGE(""https://docs.google.com/spreadsheets/d/1C3CXT74ZlgGe6_JY_1olB1XN4rF0dxEuIIF-xsYjHgg/edit?usp=sharing"",""งบกองทุน!ar81"")"),10)</f>
        <v>10</v>
      </c>
      <c r="J326" s="390">
        <v>0</v>
      </c>
      <c r="K326" s="54">
        <f t="shared" ca="1" si="74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IFERROR(__xludf.DUMMYFUNCTION("IMPORTRANGE(""https://docs.google.com/spreadsheets/d/1C3CXT74ZlgGe6_JY_1olB1XN4rF0dxEuIIF-xsYjHgg/edit?usp=sharing"",""งบกองทุน!as81"")"),15)</f>
        <v>15</v>
      </c>
      <c r="J327" s="390">
        <v>0</v>
      </c>
      <c r="K327" s="54">
        <f t="shared" ca="1" si="74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0</v>
      </c>
      <c r="K330" s="276">
        <f ca="1">IF(I330&gt;0,J330*100/I330,0)</f>
        <v>0</v>
      </c>
      <c r="L330" s="277">
        <f t="shared" ref="L330:M330" ca="1" si="75">SUM(L331:L332)</f>
        <v>71000</v>
      </c>
      <c r="M330" s="277">
        <f t="shared" si="75"/>
        <v>0</v>
      </c>
      <c r="N330" s="277">
        <f t="shared" ref="N330:N334" ca="1" si="76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6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7">SUM(L333:L334)</f>
        <v>71000</v>
      </c>
      <c r="M332" s="58">
        <f t="shared" si="77"/>
        <v>0</v>
      </c>
      <c r="N332" s="58">
        <f t="shared" ca="1" si="76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IFERROR(__xludf.DUMMYFUNCTION("IMPORTRANGE(""https://docs.google.com/spreadsheets/d/1C3CXT74ZlgGe6_JY_1olB1XN4rF0dxEuIIF-xsYjHgg/edit?usp=sharing"",""งบกองทุน!au81"")"),0)</f>
        <v>0</v>
      </c>
      <c r="M333" s="58">
        <v>0</v>
      </c>
      <c r="N333" s="58">
        <f t="shared" ca="1" si="76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IFERROR(__xludf.DUMMYFUNCTION("IMPORTRANGE(""https://docs.google.com/spreadsheets/d/1C3CXT74ZlgGe6_JY_1olB1XN4rF0dxEuIIF-xsYjHgg/edit?usp=sharing"",""งบกองทุน!av81"")"),71000)</f>
        <v>71000</v>
      </c>
      <c r="M334" s="58">
        <f>SUM(M335:M338)</f>
        <v>0</v>
      </c>
      <c r="N334" s="58">
        <f t="shared" ca="1" si="76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8">+I345+I346+I347</f>
        <v>10</v>
      </c>
      <c r="J344" s="84">
        <f t="shared" si="78"/>
        <v>0</v>
      </c>
      <c r="K344" s="54">
        <f t="shared" ref="K344:K347" ca="1" si="79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IFERROR(__xludf.DUMMYFUNCTION("IMPORTRANGE(""https://docs.google.com/spreadsheets/d/1C3CXT74ZlgGe6_JY_1olB1XN4rF0dxEuIIF-xsYjHgg/edit?usp=sharing"",""งบกองทุน!ay81"")"),10)</f>
        <v>10</v>
      </c>
      <c r="J345" s="74">
        <v>0</v>
      </c>
      <c r="K345" s="54">
        <f t="shared" ca="1" si="79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IFERROR(__xludf.DUMMYFUNCTION("IMPORTRANGE(""https://docs.google.com/spreadsheets/d/1C3CXT74ZlgGe6_JY_1olB1XN4rF0dxEuIIF-xsYjHgg/edit?usp=sharing"",""งบกองทุน!az81"")"),0)</f>
        <v>0</v>
      </c>
      <c r="J346" s="74">
        <v>0</v>
      </c>
      <c r="K346" s="54">
        <f t="shared" ca="1" si="79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IFERROR(__xludf.DUMMYFUNCTION("IMPORTRANGE(""https://docs.google.com/spreadsheets/d/1C3CXT74ZlgGe6_JY_1olB1XN4rF0dxEuIIF-xsYjHgg/edit?usp=sharing"",""งบกองทุน!Ba81"")"),0)</f>
        <v>0</v>
      </c>
      <c r="J347" s="74">
        <v>0</v>
      </c>
      <c r="K347" s="54">
        <f t="shared" ca="1" si="79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64411</v>
      </c>
      <c r="J350" s="244">
        <f>+J359</f>
        <v>0</v>
      </c>
      <c r="K350" s="245">
        <f ca="1">IF(I350&gt;0,J350*100/I350,0)</f>
        <v>0</v>
      </c>
      <c r="L350" s="246">
        <f t="shared" ref="L350:M350" ca="1" si="80">SUM(L351:L352)</f>
        <v>519283</v>
      </c>
      <c r="M350" s="246">
        <f t="shared" si="80"/>
        <v>4967.76</v>
      </c>
      <c r="N350" s="246">
        <f t="shared" ref="N350:N354" ca="1" si="81">+IF(L350&gt;0,M350*100/L350,0)</f>
        <v>0.95665754511509138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1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2">SUM(L353:L354)</f>
        <v>519283</v>
      </c>
      <c r="M352" s="58">
        <f t="shared" si="82"/>
        <v>4967.76</v>
      </c>
      <c r="N352" s="58">
        <f t="shared" ca="1" si="81"/>
        <v>0.95665754511509138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IFERROR(__xludf.DUMMYFUNCTION("IMPORTRANGE(""https://docs.google.com/spreadsheets/d/1C3CXT74ZlgGe6_JY_1olB1XN4rF0dxEuIIF-xsYjHgg/edit?usp=sharing"",""งบกองทุน!Bc81"")"),0)</f>
        <v>0</v>
      </c>
      <c r="M353" s="58">
        <v>0</v>
      </c>
      <c r="N353" s="58">
        <f t="shared" ca="1" si="81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IFERROR(__xludf.DUMMYFUNCTION("IMPORTRANGE(""https://docs.google.com/spreadsheets/d/1C3CXT74ZlgGe6_JY_1olB1XN4rF0dxEuIIF-xsYjHgg/edit?usp=sharing"",""งบกองทุน!Bd81"")"),519283)</f>
        <v>519283</v>
      </c>
      <c r="M354" s="58">
        <f>SUM(M355:M358)</f>
        <v>4967.76</v>
      </c>
      <c r="N354" s="58">
        <f t="shared" ca="1" si="81"/>
        <v>0.95665754511509138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4967.76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IFERROR(__xludf.DUMMYFUNCTION("IMPORTRANGE(""https://docs.google.com/spreadsheets/d/1C3CXT74ZlgGe6_JY_1olB1XN4rF0dxEuIIF-xsYjHgg/edit?usp=sharing"",""งบกองทุน!BE81"")"),64411)</f>
        <v>64411</v>
      </c>
      <c r="J359" s="148">
        <f>+J376</f>
        <v>0</v>
      </c>
      <c r="K359" s="149">
        <f t="shared" ref="K359:K425" ca="1" si="83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64411</v>
      </c>
      <c r="J360" s="283">
        <f t="shared" ref="J360:J361" si="84">+J362+J364+J366</f>
        <v>0</v>
      </c>
      <c r="K360" s="85">
        <f t="shared" ca="1" si="83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IFERROR(__xludf.DUMMYFUNCTION("IMPORTRANGE(""https://docs.google.com/spreadsheets/d/1C3CXT74ZlgGe6_JY_1olB1XN4rF0dxEuIIF-xsYjHgg/edit?usp=sharing"",""งบกองทุน!BF81"")"),4051)</f>
        <v>4051</v>
      </c>
      <c r="J361" s="283">
        <f t="shared" si="84"/>
        <v>0</v>
      </c>
      <c r="K361" s="85">
        <f t="shared" ca="1" si="83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3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3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3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3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3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3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64411</v>
      </c>
      <c r="J368" s="283">
        <f t="shared" ref="J368:J369" si="85">+J370+J372+J374</f>
        <v>0</v>
      </c>
      <c r="K368" s="85">
        <f t="shared" ca="1" si="83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4051</v>
      </c>
      <c r="J369" s="283">
        <f t="shared" si="85"/>
        <v>0</v>
      </c>
      <c r="K369" s="85">
        <f t="shared" ca="1" si="83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3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3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3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3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3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3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64411</v>
      </c>
      <c r="J376" s="283">
        <f t="shared" ref="J376:J377" si="86">+J378+J380+J382+J388</f>
        <v>0</v>
      </c>
      <c r="K376" s="85">
        <f t="shared" ca="1" si="83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4051</v>
      </c>
      <c r="J377" s="283">
        <f t="shared" si="86"/>
        <v>0</v>
      </c>
      <c r="K377" s="85">
        <f t="shared" ca="1" si="83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3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3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3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3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283">
        <f t="shared" ref="J382:J383" si="87">J384+J386</f>
        <v>0</v>
      </c>
      <c r="K382" s="54">
        <f t="shared" si="83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283">
        <f t="shared" si="87"/>
        <v>0</v>
      </c>
      <c r="K383" s="54">
        <f t="shared" si="83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3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3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3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3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3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3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IFERROR(__xludf.DUMMYFUNCTION("IMPORTRANGE(""https://docs.google.com/spreadsheets/d/1C3CXT74ZlgGe6_JY_1olB1XN4rF0dxEuIIF-xsYjHgg/edit?usp=sharing"",""งบกองทุน!cd81"")"),0)</f>
        <v>0</v>
      </c>
      <c r="J390" s="148">
        <f>J391</f>
        <v>0</v>
      </c>
      <c r="K390" s="149">
        <f t="shared" ca="1" si="83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IFERROR(__xludf.DUMMYFUNCTION("IMPORTRANGE(""https://docs.google.com/spreadsheets/d/1C3CXT74ZlgGe6_JY_1olB1XN4rF0dxEuIIF-xsYjHgg/edit?usp=sharing"",""งบกองทุน!cd81"")"),0)</f>
        <v>0</v>
      </c>
      <c r="J391" s="283">
        <f t="shared" ref="J391:J392" si="88">J393+J401+J407</f>
        <v>0</v>
      </c>
      <c r="K391" s="379">
        <f t="shared" ca="1" si="83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IFERROR(__xludf.DUMMYFUNCTION("IMPORTRANGE(""https://docs.google.com/spreadsheets/d/1C3CXT74ZlgGe6_JY_1olB1XN4rF0dxEuIIF-xsYjHgg/edit?usp=sharing"",""งบกองทุน!cc81"")"),0)</f>
        <v>0</v>
      </c>
      <c r="J392" s="283">
        <f t="shared" si="88"/>
        <v>0</v>
      </c>
      <c r="K392" s="379">
        <f t="shared" ca="1" si="83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89">J395+J397+J399</f>
        <v>0</v>
      </c>
      <c r="K393" s="250">
        <f t="shared" si="83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89"/>
        <v>0</v>
      </c>
      <c r="K394" s="250">
        <f t="shared" si="83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3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3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3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3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3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3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0">+J403+J405</f>
        <v>0</v>
      </c>
      <c r="K401" s="250">
        <f t="shared" si="83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0"/>
        <v>0</v>
      </c>
      <c r="K402" s="250">
        <f t="shared" si="83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3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3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3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3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3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3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IFERROR(__xludf.DUMMYFUNCTION("IMPORTRANGE(""https://docs.google.com/spreadsheets/d/1C3CXT74ZlgGe6_JY_1olB1XN4rF0dxEuIIF-xsYjHgg/edit?usp=sharing"",""งบกองทุน!cz81"")"),0)</f>
        <v>0</v>
      </c>
      <c r="J409" s="148">
        <f ca="1">+J412+J414</f>
        <v>0</v>
      </c>
      <c r="K409" s="149">
        <f t="shared" ca="1" si="83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IFERROR(__xludf.DUMMYFUNCTION("IMPORTRANGE(""https://docs.google.com/spreadsheets/d/1C3CXT74ZlgGe6_JY_1olB1XN4rF0dxEuIIF-xsYjHgg/edit?usp=sharing"",""งบกองทุน!cz81"")"),0)</f>
        <v>0</v>
      </c>
      <c r="J410" s="399">
        <f t="shared" ref="J410:J411" ca="1" si="91">SUM(J412,J414)</f>
        <v>0</v>
      </c>
      <c r="K410" s="400">
        <f t="shared" ca="1" si="83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IFERROR(__xludf.DUMMYFUNCTION("IMPORTRANGE(""https://docs.google.com/spreadsheets/d/1C3CXT74ZlgGe6_JY_1olB1XN4rF0dxEuIIF-xsYjHgg/edit?usp=sharing"",""งบกองทุน!cy81"")"),0)</f>
        <v>0</v>
      </c>
      <c r="J411" s="402">
        <f t="shared" ca="1" si="91"/>
        <v>0</v>
      </c>
      <c r="K411" s="403">
        <f t="shared" ca="1" si="83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IFERROR(__xludf.DUMMYFUNCTION("IMPORTRANGE(""https://docs.google.com/spreadsheets/d/1C3CXT74ZlgGe6_JY_1olB1XN4rF0dxEuIIF-xsYjHgg/edit?usp=sharing"",""งบกองทุน!db81"")"),0)</f>
        <v>0</v>
      </c>
      <c r="K412" s="407">
        <f t="shared" si="83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IFERROR(__xludf.DUMMYFUNCTION("IMPORTRANGE(""https://docs.google.com/spreadsheets/d/1C3CXT74ZlgGe6_JY_1olB1XN4rF0dxEuIIF-xsYjHgg/edit?usp=sharing"",""งบกองทุน!da81"")"),0)</f>
        <v>0</v>
      </c>
      <c r="K413" s="407">
        <f t="shared" si="83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IFERROR(__xludf.DUMMYFUNCTION("IMPORTRANGE(""https://docs.google.com/spreadsheets/d/1C3CXT74ZlgGe6_JY_1olB1XN4rF0dxEuIIF-xsYjHgg/edit?usp=sharing"",""งบกองทุน!dd81"")"),0)</f>
        <v>0</v>
      </c>
      <c r="K414" s="407">
        <f t="shared" si="83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IFERROR(__xludf.DUMMYFUNCTION("IMPORTRANGE(""https://docs.google.com/spreadsheets/d/1C3CXT74ZlgGe6_JY_1olB1XN4rF0dxEuIIF-xsYjHgg/edit?usp=sharing"",""งบกองทุน!dc81"")"),0)</f>
        <v>0</v>
      </c>
      <c r="K415" s="407">
        <f t="shared" si="83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IFERROR(__xludf.DUMMYFUNCTION("IMPORTRANGE(""https://docs.google.com/spreadsheets/d/1C3CXT74ZlgGe6_JY_1olB1XN4rF0dxEuIIF-xsYjHgg/edit?usp=sharing"",""งบกองทุน!df81"")"),0)</f>
        <v>0</v>
      </c>
      <c r="K416" s="407">
        <f t="shared" si="83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IFERROR(__xludf.DUMMYFUNCTION("IMPORTRANGE(""https://docs.google.com/spreadsheets/d/1C3CXT74ZlgGe6_JY_1olB1XN4rF0dxEuIIF-xsYjHgg/edit?usp=sharing"",""งบกองทุน!de81"")"),0)</f>
        <v>0</v>
      </c>
      <c r="K417" s="407">
        <f t="shared" si="83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2">J416</f>
        <v>0</v>
      </c>
      <c r="J418" s="408">
        <f t="shared" ref="J418:J419" si="93">SUM(J420,J422,J424)</f>
        <v>0</v>
      </c>
      <c r="K418" s="409">
        <f t="shared" ca="1" si="83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2"/>
        <v>0</v>
      </c>
      <c r="J419" s="408">
        <f t="shared" si="93"/>
        <v>0</v>
      </c>
      <c r="K419" s="409">
        <f t="shared" ca="1" si="83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3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3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3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3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3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8">
        <v>0</v>
      </c>
      <c r="J425" s="414">
        <v>0</v>
      </c>
      <c r="K425" s="415">
        <f t="shared" si="83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4">I440</f>
        <v>22</v>
      </c>
      <c r="J426" s="275">
        <f t="shared" si="94"/>
        <v>0</v>
      </c>
      <c r="K426" s="276">
        <f ca="1">IF(I426&gt;0,J426*100/I426,0)</f>
        <v>0</v>
      </c>
      <c r="L426" s="277">
        <f t="shared" ref="L426:M426" ca="1" si="95">SUM(L427:L428)</f>
        <v>34340</v>
      </c>
      <c r="M426" s="277">
        <f t="shared" si="95"/>
        <v>1960</v>
      </c>
      <c r="N426" s="277">
        <f t="shared" ref="N426:N430" ca="1" si="96">+IF(L426&gt;0,M426*100/L426,0)</f>
        <v>5.7076295864880606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6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7">SUM(L429:L430)</f>
        <v>34340</v>
      </c>
      <c r="M428" s="58">
        <f t="shared" si="97"/>
        <v>1960</v>
      </c>
      <c r="N428" s="58">
        <f t="shared" ca="1" si="96"/>
        <v>5.7076295864880606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IFERROR(__xludf.DUMMYFUNCTION("IMPORTRANGE(""https://docs.google.com/spreadsheets/d/1C3CXT74ZlgGe6_JY_1olB1XN4rF0dxEuIIF-xsYjHgg/edit?usp=sharing"",""งบกองทุน!dn81"")"),0)</f>
        <v>0</v>
      </c>
      <c r="M429" s="58">
        <v>0</v>
      </c>
      <c r="N429" s="58">
        <f t="shared" ca="1" si="96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IFERROR(__xludf.DUMMYFUNCTION("IMPORTRANGE(""https://docs.google.com/spreadsheets/d/1C3CXT74ZlgGe6_JY_1olB1XN4rF0dxEuIIF-xsYjHgg/edit?usp=sharing"",""งบกองทุน!do81"")"),34340)</f>
        <v>34340</v>
      </c>
      <c r="M430" s="58">
        <f>SUM(M431:M434)</f>
        <v>1960</v>
      </c>
      <c r="N430" s="58">
        <f t="shared" ca="1" si="96"/>
        <v>5.7076295864880606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1960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/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IFERROR(__xludf.DUMMYFUNCTION("IMPORTRANGE(""https://docs.google.com/spreadsheets/d/1C3CXT74ZlgGe6_JY_1olB1XN4rF0dxEuIIF-xsYjHgg/edit?usp=sharing"",""งบกองทุน!dq81"")"),22)</f>
        <v>22</v>
      </c>
      <c r="J440" s="74">
        <v>0</v>
      </c>
      <c r="K440" s="54">
        <f t="shared" ref="K440:K441" ca="1" si="98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IFERROR(__xludf.DUMMYFUNCTION("IMPORTRANGE(""https://docs.google.com/spreadsheets/d/1C3CXT74ZlgGe6_JY_1olB1XN4rF0dxEuIIF-xsYjHgg/edit?usp=sharing"",""งบกองทุน!dr81"")"),22)</f>
        <v>22</v>
      </c>
      <c r="J441" s="74">
        <v>0</v>
      </c>
      <c r="K441" s="54">
        <f t="shared" ca="1" si="98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99">SUM(I453,I455)</f>
        <v>0</v>
      </c>
      <c r="J444" s="275">
        <f t="shared" si="99"/>
        <v>0</v>
      </c>
      <c r="K444" s="276">
        <f ca="1">IF(I444&gt;0,J444*100/I444,0)</f>
        <v>0</v>
      </c>
      <c r="L444" s="277">
        <f t="shared" ref="L444:M444" ca="1" si="100">SUM(L445:L446)</f>
        <v>0</v>
      </c>
      <c r="M444" s="277">
        <f t="shared" si="100"/>
        <v>0</v>
      </c>
      <c r="N444" s="277">
        <f t="shared" ref="N444:N448" ca="1" si="101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1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2">SUM(L447:L448)</f>
        <v>0</v>
      </c>
      <c r="M446" s="58">
        <f t="shared" si="102"/>
        <v>0</v>
      </c>
      <c r="N446" s="58">
        <f t="shared" ca="1" si="101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IFERROR(__xludf.DUMMYFUNCTION("IMPORTRANGE(""https://docs.google.com/spreadsheets/d/1C3CXT74ZlgGe6_JY_1olB1XN4rF0dxEuIIF-xsYjHgg/edit?usp=sharing"",""งบกองทุน!dt81"")"),0)</f>
        <v>0</v>
      </c>
      <c r="M447" s="58">
        <v>0</v>
      </c>
      <c r="N447" s="58">
        <f t="shared" ca="1" si="101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IFERROR(__xludf.DUMMYFUNCTION("IMPORTRANGE(""https://docs.google.com/spreadsheets/d/1C3CXT74ZlgGe6_JY_1olB1XN4rF0dxEuIIF-xsYjHgg/edit?usp=sharing"",""งบกองทุน!du81"")"),0)</f>
        <v>0</v>
      </c>
      <c r="M448" s="58">
        <f>SUM(M449:M452)</f>
        <v>0</v>
      </c>
      <c r="N448" s="58">
        <f t="shared" ca="1" si="101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IFERROR(__xludf.DUMMYFUNCTION("IMPORTRANGE(""https://docs.google.com/spreadsheets/d/1C3CXT74ZlgGe6_JY_1olB1XN4rF0dxEuIIF-xsYjHgg/edit?usp=sharing"",""งบกองทุน!dw81"")"),0)</f>
        <v>0</v>
      </c>
      <c r="J453" s="73">
        <v>0</v>
      </c>
      <c r="K453" s="250">
        <f t="shared" ref="K453:K457" ca="1" si="103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IFERROR(__xludf.DUMMYFUNCTION("IMPORTRANGE(""https://docs.google.com/spreadsheets/d/1C3CXT74ZlgGe6_JY_1olB1XN4rF0dxEuIIF-xsYjHgg/edit?usp=sharing"",""งบกองทุน!dx81"")"),0)</f>
        <v>0</v>
      </c>
      <c r="J454" s="73">
        <v>0</v>
      </c>
      <c r="K454" s="250">
        <f t="shared" ca="1" si="103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IFERROR(__xludf.DUMMYFUNCTION("IMPORTRANGE(""https://docs.google.com/spreadsheets/d/1C3CXT74ZlgGe6_JY_1olB1XN4rF0dxEuIIF-xsYjHgg/edit?usp=sharing"",""งบกองทุน!dy81"")"),0)</f>
        <v>0</v>
      </c>
      <c r="J455" s="73">
        <v>0</v>
      </c>
      <c r="K455" s="250">
        <f t="shared" ca="1" si="103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IFERROR(__xludf.DUMMYFUNCTION("IMPORTRANGE(""https://docs.google.com/spreadsheets/d/1C3CXT74ZlgGe6_JY_1olB1XN4rF0dxEuIIF-xsYjHgg/edit?usp=sharing"",""งบกองทุน!dz81"")"),0)</f>
        <v>0</v>
      </c>
      <c r="J456" s="73">
        <v>0</v>
      </c>
      <c r="K456" s="250">
        <f t="shared" ca="1" si="103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1100</v>
      </c>
      <c r="J457" s="244">
        <f>+J466</f>
        <v>341</v>
      </c>
      <c r="K457" s="245">
        <f t="shared" ca="1" si="103"/>
        <v>31</v>
      </c>
      <c r="L457" s="246">
        <f t="shared" ref="L457:M457" ca="1" si="104">SUM(L458:L459)</f>
        <v>122800</v>
      </c>
      <c r="M457" s="246">
        <f t="shared" si="104"/>
        <v>0</v>
      </c>
      <c r="N457" s="246">
        <f t="shared" ref="N457:N461" ca="1" si="105">+IF(L457&gt;0,M457*100/L457,0)</f>
        <v>0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5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6">SUM(L460:L461)</f>
        <v>122800</v>
      </c>
      <c r="M459" s="58">
        <f t="shared" si="106"/>
        <v>0</v>
      </c>
      <c r="N459" s="58">
        <f t="shared" ca="1" si="105"/>
        <v>0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IFERROR(__xludf.DUMMYFUNCTION("IMPORTRANGE(""https://docs.google.com/spreadsheets/d/1C3CXT74ZlgGe6_JY_1olB1XN4rF0dxEuIIF-xsYjHgg/edit?usp=sharing"",""งบกองทุน!Eb81"")"),0)</f>
        <v>0</v>
      </c>
      <c r="M460" s="58">
        <v>0</v>
      </c>
      <c r="N460" s="58">
        <f t="shared" ca="1" si="105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IFERROR(__xludf.DUMMYFUNCTION("IMPORTRANGE(""https://docs.google.com/spreadsheets/d/1C3CXT74ZlgGe6_JY_1olB1XN4rF0dxEuIIF-xsYjHgg/edit?usp=sharing"",""งบกองทุน!Ec81"")"),122800)</f>
        <v>122800</v>
      </c>
      <c r="M461" s="58">
        <f>SUM(M462:M465)</f>
        <v>0</v>
      </c>
      <c r="N461" s="58">
        <f t="shared" ca="1" si="105"/>
        <v>0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IFERROR(__xludf.DUMMYFUNCTION("IMPORTRANGE(""https://docs.google.com/spreadsheets/d/1C3CXT74ZlgGe6_JY_1olB1XN4rF0dxEuIIF-xsYjHgg/edit?usp=sharing"",""งบกองทุน!Ed81"")"),1100)</f>
        <v>1100</v>
      </c>
      <c r="J466" s="283">
        <f>+J469+J470+J471+J472</f>
        <v>341</v>
      </c>
      <c r="K466" s="85">
        <f ca="1">IF(I466&gt;0,J466*100/I466,0)</f>
        <v>31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7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7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341</v>
      </c>
      <c r="K470" s="54">
        <f t="shared" si="107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7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8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8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09">SUM(L476:L477)</f>
        <v>0</v>
      </c>
      <c r="M475" s="58">
        <f t="shared" si="109"/>
        <v>0</v>
      </c>
      <c r="N475" s="58">
        <f t="shared" ca="1" si="108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IFERROR(__xludf.DUMMYFUNCTION("IMPORTRANGE(""https://docs.google.com/spreadsheets/d/1C3CXT74ZlgGe6_JY_1olB1XN4rF0dxEuIIF-xsYjHgg/edit?usp=sharing"",""งบกองทุน!Ek81"")"),0)</f>
        <v>0</v>
      </c>
      <c r="M476" s="58">
        <v>0</v>
      </c>
      <c r="N476" s="58">
        <f t="shared" ca="1" si="108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IFERROR(__xludf.DUMMYFUNCTION("IMPORTRANGE(""https://docs.google.com/spreadsheets/d/1C3CXT74ZlgGe6_JY_1olB1XN4rF0dxEuIIF-xsYjHgg/edit?usp=sharing"",""งบกองทุน!El81"")"),0)</f>
        <v>0</v>
      </c>
      <c r="M477" s="58">
        <f>SUM(M478:M481)</f>
        <v>0</v>
      </c>
      <c r="N477" s="58">
        <f t="shared" ca="1" si="108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IFERROR(__xludf.DUMMYFUNCTION("IMPORTRANGE(""https://docs.google.com/spreadsheets/d/1C3CXT74ZlgGe6_JY_1olB1XN4rF0dxEuIIF-xsYjHgg/edit?usp=sharing"",""งบกองทุน!Em81"")"),0)</f>
        <v>0</v>
      </c>
      <c r="J482" s="73">
        <f ca="1">IFERROR(__xludf.DUMMYFUNCTION("IMPORTRANGE(""https://docs.google.com/spreadsheets/d/1AGHcLOeeYFL3K4b9R1dSzyJy00PE_ra89DNTVfnxSWM/edit?usp=sharing"",""รวมที่ชุมชน!G70"")"),0)</f>
        <v>0</v>
      </c>
      <c r="K482" s="250">
        <f t="shared" ref="K482:K489" ca="1" si="110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IFERROR(__xludf.DUMMYFUNCTION("IMPORTRANGE(""https://docs.google.com/spreadsheets/d/1AGHcLOeeYFL3K4b9R1dSzyJy00PE_ra89DNTVfnxSWM/edit?usp=sharing"",""รวมที่ชุมชน!H70"")"),0)</f>
        <v>0</v>
      </c>
      <c r="K483" s="250">
        <f t="shared" si="110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IFERROR(__xludf.DUMMYFUNCTION("IMPORTRANGE(""https://docs.google.com/spreadsheets/d/1C3CXT74ZlgGe6_JY_1olB1XN4rF0dxEuIIF-xsYjHgg/edit?usp=sharing"",""งบกองทุน!Eo81"")"),0)</f>
        <v>0</v>
      </c>
      <c r="J484" s="73">
        <f ca="1">IFERROR(__xludf.DUMMYFUNCTION("IMPORTRANGE(""https://docs.google.com/spreadsheets/d/1AGHcLOeeYFL3K4b9R1dSzyJy00PE_ra89DNTVfnxSWM/edit?usp=sharing"",""รวมที่ชุมชน!J70"")"),0)</f>
        <v>0</v>
      </c>
      <c r="K484" s="250">
        <f t="shared" ca="1" si="110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IFERROR(__xludf.DUMMYFUNCTION("IMPORTRANGE(""https://docs.google.com/spreadsheets/d/1AGHcLOeeYFL3K4b9R1dSzyJy00PE_ra89DNTVfnxSWM/edit?usp=sharing"",""รวมที่ชุมชน!L70"")"),0)</f>
        <v>0</v>
      </c>
      <c r="K485" s="250">
        <f t="shared" si="110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IFERROR(__xludf.DUMMYFUNCTION("IMPORTRANGE(""https://docs.google.com/spreadsheets/d/1C3CXT74ZlgGe6_JY_1olB1XN4rF0dxEuIIF-xsYjHgg/edit?usp=sharing"",""งบกองทุน!Eq81"")"),0)</f>
        <v>0</v>
      </c>
      <c r="J486" s="73">
        <f ca="1">IFERROR(__xludf.DUMMYFUNCTION("IMPORTRANGE(""https://docs.google.com/spreadsheets/d/1AGHcLOeeYFL3K4b9R1dSzyJy00PE_ra89DNTVfnxSWM/edit?usp=sharing"",""รวมที่ชุมชน!S70"")"),0)</f>
        <v>0</v>
      </c>
      <c r="K486" s="250">
        <f t="shared" ca="1" si="110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IFERROR(__xludf.DUMMYFUNCTION("IMPORTRANGE(""https://docs.google.com/spreadsheets/d/1AGHcLOeeYFL3K4b9R1dSzyJy00PE_ra89DNTVfnxSWM/edit?usp=sharing"",""รวมที่ชุมชน!U70"")"),0)</f>
        <v>0</v>
      </c>
      <c r="K487" s="250">
        <f t="shared" si="110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IFERROR(__xludf.DUMMYFUNCTION("IMPORTRANGE(""https://docs.google.com/spreadsheets/d/1C3CXT74ZlgGe6_JY_1olB1XN4rF0dxEuIIF-xsYjHgg/edit?usp=sharing"",""งบกองทุน!Es81"")"),0)</f>
        <v>0</v>
      </c>
      <c r="J488" s="73">
        <f ca="1">IFERROR(__xludf.DUMMYFUNCTION("IMPORTRANGE(""https://docs.google.com/spreadsheets/d/1AGHcLOeeYFL3K4b9R1dSzyJy00PE_ra89DNTVfnxSWM/edit?usp=sharing"",""รวมที่ชุมชน!V70"")"),0)</f>
        <v>0</v>
      </c>
      <c r="K488" s="250">
        <f t="shared" ca="1" si="110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IFERROR(__xludf.DUMMYFUNCTION("IMPORTRANGE(""https://docs.google.com/spreadsheets/d/1AGHcLOeeYFL3K4b9R1dSzyJy00PE_ra89DNTVfnxSWM/edit?usp=sharing"",""รวมที่ชุมชน!X70"")"),0)</f>
        <v>0</v>
      </c>
      <c r="K489" s="385">
        <f t="shared" si="110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1">I504</f>
        <v>428</v>
      </c>
      <c r="J490" s="321">
        <f t="shared" si="111"/>
        <v>0</v>
      </c>
      <c r="K490" s="343">
        <f ca="1">IF(I490&gt;0,J490*100/I490,0)</f>
        <v>0</v>
      </c>
      <c r="L490" s="277">
        <f ca="1">SUM(L491,L492)</f>
        <v>26140</v>
      </c>
      <c r="M490" s="277">
        <f>SUM(M491:M492)</f>
        <v>2600</v>
      </c>
      <c r="N490" s="277">
        <f t="shared" ref="N490:N494" ca="1" si="112">+IF(L490&gt;0,M490*100/L490,0)</f>
        <v>9.946442234123948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2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3">SUM(L493:L494)</f>
        <v>26140</v>
      </c>
      <c r="M492" s="58">
        <f t="shared" si="113"/>
        <v>2600</v>
      </c>
      <c r="N492" s="58">
        <f t="shared" ca="1" si="112"/>
        <v>9.946442234123948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IFERROR(__xludf.DUMMYFUNCTION("IMPORTRANGE(""https://docs.google.com/spreadsheets/d/1C3CXT74ZlgGe6_JY_1olB1XN4rF0dxEuIIF-xsYjHgg/edit?usp=sharing"",""งบกองทุน!Ev81"")"),0)</f>
        <v>0</v>
      </c>
      <c r="M493" s="58">
        <v>0</v>
      </c>
      <c r="N493" s="58">
        <f t="shared" ca="1" si="112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IFERROR(__xludf.DUMMYFUNCTION("IMPORTRANGE(""https://docs.google.com/spreadsheets/d/1C3CXT74ZlgGe6_JY_1olB1XN4rF0dxEuIIF-xsYjHgg/edit?usp=sharing"",""งบกองทุน!Ew81"")"),26140)</f>
        <v>26140</v>
      </c>
      <c r="M494" s="58">
        <f>SUM(M495:M498)</f>
        <v>2600</v>
      </c>
      <c r="N494" s="58">
        <f t="shared" ca="1" si="112"/>
        <v>9.946442234123948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2600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1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0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IFERROR(__xludf.DUMMYFUNCTION("IMPORTRANGE(""https://docs.google.com/spreadsheets/d/1C3CXT74ZlgGe6_JY_1olB1XN4rF0dxEuIIF-xsYjHgg/edit?usp=sharing"",""งบกองทุน!EZ81"")"),428)</f>
        <v>428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4">I511+I512</f>
        <v>0</v>
      </c>
      <c r="J510" s="73">
        <f t="shared" si="114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IFERROR(__xludf.DUMMYFUNCTION("IMPORTRANGE(""https://docs.google.com/spreadsheets/d/1C3CXT74ZlgGe6_JY_1olB1XN4rF0dxEuIIF-xsYjHgg/edit?usp=sharing"",""งบกองทุน!ff81"")"),0)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5">I515+I516</f>
        <v>0</v>
      </c>
      <c r="J514" s="53">
        <f t="shared" si="115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6">SUM(I518:I519)</f>
        <v>0</v>
      </c>
      <c r="J517" s="73">
        <f t="shared" si="116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IFERROR(__xludf.DUMMYFUNCTION("IMPORTRANGE(""https://docs.google.com/spreadsheets/d/1muirlRDkqiswvy_NRZ3Yh955hx-PF6_HhssUYiSJj8o/edit?usp=sharing"",""กองทุน!D81"")"),220041)</f>
        <v>220041</v>
      </c>
      <c r="J521" s="214">
        <f ca="1">IFERROR(__xludf.DUMMYFUNCTION("IMPORTRANGE(""https://docs.google.com/spreadsheets/d/1muirlRDkqiswvy_NRZ3Yh955hx-PF6_HhssUYiSJj8o/edit?usp=sharing"",""กองทุน!F81"")"),10431.52)</f>
        <v>10431.52</v>
      </c>
      <c r="K521" s="215">
        <f t="shared" ref="K521:K528" ca="1" si="117">IF(I521&gt;0,J521*100/I521,0)</f>
        <v>4.7407165028335632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IFERROR(__xludf.DUMMYFUNCTION("IMPORTRANGE(""https://docs.google.com/spreadsheets/d/1muirlRDkqiswvy_NRZ3Yh955hx-PF6_HhssUYiSJj8o/edit?usp=sharing"",""กองทุน!C81"")"),22)</f>
        <v>22</v>
      </c>
      <c r="J522" s="214">
        <f ca="1">IFERROR(__xludf.DUMMYFUNCTION("IMPORTRANGE(""https://docs.google.com/spreadsheets/d/1muirlRDkqiswvy_NRZ3Yh955hx-PF6_HhssUYiSJj8o/edit?usp=sharing"",""กองทุน!E81"")"),7)</f>
        <v>7</v>
      </c>
      <c r="K522" s="215">
        <f t="shared" ca="1" si="117"/>
        <v>31.818181818181817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IFERROR(__xludf.DUMMYFUNCTION("IMPORTRANGE(""https://docs.google.com/spreadsheets/d/1muirlRDkqiswvy_NRZ3Yh955hx-PF6_HhssUYiSJj8o/edit?usp=sharing"",""กองทุน!I81"")"),6396540.34)</f>
        <v>6396540.3399999999</v>
      </c>
      <c r="J523" s="214">
        <f ca="1">IFERROR(__xludf.DUMMYFUNCTION("IMPORTRANGE(""https://docs.google.com/spreadsheets/d/1muirlRDkqiswvy_NRZ3Yh955hx-PF6_HhssUYiSJj8o/edit?usp=sharing"",""กองทุน!K81"")"),167702.6)</f>
        <v>167702.6</v>
      </c>
      <c r="K523" s="215">
        <f t="shared" ca="1" si="117"/>
        <v>2.6217703803303145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IFERROR(__xludf.DUMMYFUNCTION("IMPORTRANGE(""https://docs.google.com/spreadsheets/d/1muirlRDkqiswvy_NRZ3Yh955hx-PF6_HhssUYiSJj8o/edit?usp=sharing"",""กองทุน!H81"")"),176)</f>
        <v>176</v>
      </c>
      <c r="J524" s="214">
        <f ca="1">IFERROR(__xludf.DUMMYFUNCTION("IMPORTRANGE(""https://docs.google.com/spreadsheets/d/1muirlRDkqiswvy_NRZ3Yh955hx-PF6_HhssUYiSJj8o/edit?usp=sharing"",""กองทุน!J81"")"),16)</f>
        <v>16</v>
      </c>
      <c r="K524" s="215">
        <f t="shared" ca="1" si="117"/>
        <v>9.0909090909090917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IFERROR(__xludf.DUMMYFUNCTION("IMPORTRANGE(""https://docs.google.com/spreadsheets/d/1muirlRDkqiswvy_NRZ3Yh955hx-PF6_HhssUYiSJj8o/edit?usp=sharing"",""กองทุน!N81"")"),0)</f>
        <v>0</v>
      </c>
      <c r="J525" s="214">
        <f ca="1">IFERROR(__xludf.DUMMYFUNCTION("IMPORTRANGE(""https://docs.google.com/spreadsheets/d/1muirlRDkqiswvy_NRZ3Yh955hx-PF6_HhssUYiSJj8o/edit?usp=sharing"",""กองทุน!P81"")"),2126.44)</f>
        <v>2126.44</v>
      </c>
      <c r="K525" s="215">
        <f t="shared" ca="1" si="117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IFERROR(__xludf.DUMMYFUNCTION("IMPORTRANGE(""https://docs.google.com/spreadsheets/d/1muirlRDkqiswvy_NRZ3Yh955hx-PF6_HhssUYiSJj8o/edit?usp=sharing"",""กองทุน!M81"")"),0)</f>
        <v>0</v>
      </c>
      <c r="J526" s="214">
        <f ca="1">IFERROR(__xludf.DUMMYFUNCTION("IMPORTRANGE(""https://docs.google.com/spreadsheets/d/1muirlRDkqiswvy_NRZ3Yh955hx-PF6_HhssUYiSJj8o/edit?usp=sharing"",""กองทุน!O81"")"),1)</f>
        <v>1</v>
      </c>
      <c r="K526" s="215">
        <f t="shared" ca="1" si="117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IFERROR(__xludf.DUMMYFUNCTION("IMPORTRANGE(""https://docs.google.com/spreadsheets/d/1muirlRDkqiswvy_NRZ3Yh955hx-PF6_HhssUYiSJj8o/edit?usp=sharing"",""กองทุน!S81"")"),200000)</f>
        <v>200000</v>
      </c>
      <c r="J527" s="214">
        <f ca="1">IFERROR(__xludf.DUMMYFUNCTION("IMPORTRANGE(""https://docs.google.com/spreadsheets/d/1muirlRDkqiswvy_NRZ3Yh955hx-PF6_HhssUYiSJj8o/edit?usp=sharing"",""กองทุน!U81"")"),0)</f>
        <v>0</v>
      </c>
      <c r="K527" s="215">
        <f t="shared" ca="1" si="117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IFERROR(__xludf.DUMMYFUNCTION("IMPORTRANGE(""https://docs.google.com/spreadsheets/d/1muirlRDkqiswvy_NRZ3Yh955hx-PF6_HhssUYiSJj8o/edit?usp=sharing"",""กองทุน!R81"")"),4)</f>
        <v>4</v>
      </c>
      <c r="J528" s="342">
        <f ca="1">IFERROR(__xludf.DUMMYFUNCTION("IMPORTRANGE(""https://docs.google.com/spreadsheets/d/1muirlRDkqiswvy_NRZ3Yh955hx-PF6_HhssUYiSJj8o/edit?usp=sharing"",""กองทุน!T81"")"),0)</f>
        <v>0</v>
      </c>
      <c r="K528" s="370">
        <f t="shared" ca="1" si="117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H14" sqref="H14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25" style="1" bestFit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220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2380610</v>
      </c>
      <c r="M6" s="18">
        <f t="shared" si="0"/>
        <v>158410</v>
      </c>
      <c r="N6" s="19">
        <f ca="1">IF(L6&gt;0,M6*100/L6,0)</f>
        <v>6.6541768706339974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2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780800</v>
      </c>
      <c r="M9" s="45">
        <f>SUM(M11:M12)</f>
        <v>63033</v>
      </c>
      <c r="N9" s="44">
        <f ca="1">IF(L9&gt;0,M9*100/L9,0)</f>
        <v>8.072873975409836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70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IFERROR(__xludf.DUMMYFUNCTION("IMPORTRANGE(""https://docs.google.com/spreadsheets/d/1C3CXT74ZlgGe6_JY_1olB1XN4rF0dxEuIIF-xsYjHgg/edit?usp=sharing"",""พรบ!C82"")"),780800)</f>
        <v>780800</v>
      </c>
      <c r="M12" s="55">
        <f>SUM(M13:M14)</f>
        <v>63033</v>
      </c>
      <c r="N12" s="55">
        <f t="shared" ca="1" si="4"/>
        <v>8.072873975409836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IFERROR(__xludf.DUMMYFUNCTION("IMPORTRANGE(""https://docs.google.com/spreadsheets/d/1C3CXT74ZlgGe6_JY_1olB1XN4rF0dxEuIIF-xsYjHgg/edit?usp=sharing"",""พรบ!D82"")"),180800)</f>
        <v>180800</v>
      </c>
      <c r="M13" s="59">
        <v>53656</v>
      </c>
      <c r="N13" s="58">
        <f t="shared" ca="1" si="4"/>
        <v>29.676991150442479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IFERROR(__xludf.DUMMYFUNCTION("IMPORTRANGE(""https://docs.google.com/spreadsheets/d/1C3CXT74ZlgGe6_JY_1olB1XN4rF0dxEuIIF-xsYjHgg/edit?usp=sharing"",""พรบ!E82"")"),600000)</f>
        <v>600000</v>
      </c>
      <c r="M14" s="59">
        <v>9377</v>
      </c>
      <c r="N14" s="58">
        <f t="shared" ca="1" si="4"/>
        <v>1.5628333333333333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4"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4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4">
        <v>1</v>
      </c>
      <c r="K18" s="54"/>
      <c r="L18" s="66"/>
      <c r="M18" s="66"/>
      <c r="N18" s="66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4">
        <v>1</v>
      </c>
      <c r="K19" s="54"/>
      <c r="L19" s="66"/>
      <c r="M19" s="66"/>
      <c r="N19" s="66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2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70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IFERROR(__xludf.DUMMYFUNCTION("IMPORTRANGE(""https://docs.google.com/spreadsheets/d/1C3CXT74ZlgGe6_JY_1olB1XN4rF0dxEuIIF-xsYjHgg/edit?usp=sharing"",""พรบ!H82"")"),0)</f>
        <v>0</v>
      </c>
      <c r="J22" s="74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IFERROR(__xludf.DUMMYFUNCTION("IMPORTRANGE(""https://docs.google.com/spreadsheets/d/1C3CXT74ZlgGe6_JY_1olB1XN4rF0dxEuIIF-xsYjHgg/edit?usp=sharing"",""พรบ!I82"")"),0)</f>
        <v>0</v>
      </c>
      <c r="J23" s="74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IFERROR(__xludf.DUMMYFUNCTION("IMPORTRANGE(""https://docs.google.com/spreadsheets/d/1C3CXT74ZlgGe6_JY_1olB1XN4rF0dxEuIIF-xsYjHgg/edit?usp=sharing"",""พรบ!J82"")"),0)</f>
        <v>0</v>
      </c>
      <c r="J24" s="74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IFERROR(__xludf.DUMMYFUNCTION("IMPORTRANGE(""https://docs.google.com/spreadsheets/d/1C3CXT74ZlgGe6_JY_1olB1XN4rF0dxEuIIF-xsYjHgg/edit?usp=sharing"",""พรบ!K82"")"),0)</f>
        <v>0</v>
      </c>
      <c r="J25" s="74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IFERROR(__xludf.DUMMYFUNCTION("IMPORTRANGE(""https://docs.google.com/spreadsheets/d/1C3CXT74ZlgGe6_JY_1olB1XN4rF0dxEuIIF-xsYjHgg/edit?usp=sharing"",""พรบ!L82"")"),2)</f>
        <v>2</v>
      </c>
      <c r="J26" s="74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IFERROR(__xludf.DUMMYFUNCTION("IMPORTRANGE(""https://docs.google.com/spreadsheets/d/1C3CXT74ZlgGe6_JY_1olB1XN4rF0dxEuIIF-xsYjHgg/edit?usp=sharing"",""พรบ!M82"")"),70)</f>
        <v>70</v>
      </c>
      <c r="J27" s="74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IFERROR(__xludf.DUMMYFUNCTION("IMPORTRANGE(""https://docs.google.com/spreadsheets/d/1C3CXT74ZlgGe6_JY_1olB1XN4rF0dxEuIIF-xsYjHgg/edit?usp=sharing"",""พรบ!N82"")"),0)</f>
        <v>0</v>
      </c>
      <c r="J28" s="74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4"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90"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122100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1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IFERROR(__xludf.DUMMYFUNCTION("IMPORTRANGE(""https://docs.google.com/spreadsheets/d/1C3CXT74ZlgGe6_JY_1olB1XN4rF0dxEuIIF-xsYjHgg/edit?usp=sharing"",""พรบ!O82"")"),122100)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IFERROR(__xludf.DUMMYFUNCTION("IMPORTRANGE(""https://docs.google.com/spreadsheets/d/1C3CXT74ZlgGe6_JY_1olB1XN4rF0dxEuIIF-xsYjHgg/edit?usp=sharing"",""พรบ!P82"")"),0)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IFERROR(__xludf.DUMMYFUNCTION("IMPORTRANGE(""https://docs.google.com/spreadsheets/d/1C3CXT74ZlgGe6_JY_1olB1XN4rF0dxEuIIF-xsYjHgg/edit?usp=sharing"",""พรบ!Q82"")"),122100)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4">
        <v>1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4">
        <v>1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IFERROR(__xludf.DUMMYFUNCTION("IMPORTRANGE(""https://docs.google.com/spreadsheets/d/1C3CXT74ZlgGe6_JY_1olB1XN4rF0dxEuIIF-xsYjHgg/edit?usp=sharing"",""พรบ!R82"")"),1)</f>
        <v>1</v>
      </c>
      <c r="J43" s="74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IFERROR(__xludf.DUMMYFUNCTION("IMPORTRANGE(""https://docs.google.com/spreadsheets/d/1C3CXT74ZlgGe6_JY_1olB1XN4rF0dxEuIIF-xsYjHgg/edit?usp=sharing"",""พรบ!S82"")"),4)</f>
        <v>4</v>
      </c>
      <c r="J44" s="74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IFERROR(__xludf.DUMMYFUNCTION("IMPORTRANGE(""https://docs.google.com/spreadsheets/d/1C3CXT74ZlgGe6_JY_1olB1XN4rF0dxEuIIF-xsYjHgg/edit?usp=sharing"",""พรบ!T82"")"),4)</f>
        <v>4</v>
      </c>
      <c r="J45" s="74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IFERROR(__xludf.DUMMYFUNCTION("IMPORTRANGE(""https://docs.google.com/spreadsheets/d/1C3CXT74ZlgGe6_JY_1olB1XN4rF0dxEuIIF-xsYjHgg/edit?usp=sharing"",""พรบ!U82"")"),4)</f>
        <v>4</v>
      </c>
      <c r="J46" s="74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IFERROR(__xludf.DUMMYFUNCTION("IMPORTRANGE(""https://docs.google.com/spreadsheets/d/1C3CXT74ZlgGe6_JY_1olB1XN4rF0dxEuIIF-xsYjHgg/edit?usp=sharing"",""พรบ!V82"")"),4)</f>
        <v>4</v>
      </c>
      <c r="J47" s="74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IFERROR(__xludf.DUMMYFUNCTION("IMPORTRANGE(""https://docs.google.com/spreadsheets/d/1C3CXT74ZlgGe6_JY_1olB1XN4rF0dxEuIIF-xsYjHgg/edit?usp=sharing"",""พรบ!W82"")"),1)</f>
        <v>1</v>
      </c>
      <c r="J48" s="74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4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15</v>
      </c>
      <c r="J52" s="43">
        <f>+J62</f>
        <v>0</v>
      </c>
      <c r="K52" s="44">
        <f ca="1">IF(I52&gt;0,J52*100/I52,0)</f>
        <v>0</v>
      </c>
      <c r="L52" s="45">
        <f ca="1">L53+L54</f>
        <v>64890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IFERROR(__xludf.DUMMYFUNCTION("IMPORTRANGE(""https://docs.google.com/spreadsheets/d/1C3CXT74ZlgGe6_JY_1olB1XN4rF0dxEuIIF-xsYjHgg/edit?usp=sharing"",""พรบ!Y82"")"),0)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IFERROR(__xludf.DUMMYFUNCTION("IMPORTRANGE(""https://docs.google.com/spreadsheets/d/1C3CXT74ZlgGe6_JY_1olB1XN4rF0dxEuIIF-xsYjHgg/edit?usp=sharing"",""พรบ!Z82"")"),64890)</f>
        <v>64890</v>
      </c>
      <c r="M56" s="59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4">
        <v>1</v>
      </c>
      <c r="K60" s="54"/>
      <c r="L60" s="66"/>
      <c r="M60" s="66"/>
      <c r="N60" s="66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4">
        <v>1</v>
      </c>
      <c r="K61" s="54"/>
      <c r="L61" s="66"/>
      <c r="M61" s="66"/>
      <c r="N61" s="66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IFERROR(__xludf.DUMMYFUNCTION("IMPORTRANGE(""https://docs.google.com/spreadsheets/d/1C3CXT74ZlgGe6_JY_1olB1XN4rF0dxEuIIF-xsYjHgg/edit?usp=sharing"",""พรบ!AA82"")"),15)</f>
        <v>15</v>
      </c>
      <c r="J62" s="74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15</v>
      </c>
      <c r="J63" s="74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4"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15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206500</v>
      </c>
      <c r="M68" s="150">
        <f t="shared" si="16"/>
        <v>21633</v>
      </c>
      <c r="N68" s="149">
        <f ca="1">IF(L68&gt;0,M68*100/L68,0)</f>
        <v>10.476029055690073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206500</v>
      </c>
      <c r="M71" s="151">
        <f>SUM(M72:M73)</f>
        <v>21633</v>
      </c>
      <c r="N71" s="55">
        <f t="shared" ca="1" si="17"/>
        <v>10.476029055690073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IFERROR(__xludf.DUMMYFUNCTION("IMPORTRANGE(""https://docs.google.com/spreadsheets/d/1C3CXT74ZlgGe6_JY_1olB1XN4rF0dxEuIIF-xsYjHgg/edit?usp=sharing"",""พรบ!AD82"")"),132000)</f>
        <v>132000</v>
      </c>
      <c r="M72" s="59">
        <v>21633</v>
      </c>
      <c r="N72" s="58">
        <f t="shared" ca="1" si="17"/>
        <v>16.388636363636362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74500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IFERROR(__xludf.DUMMYFUNCTION("IMPORTRANGE(""https://docs.google.com/spreadsheets/d/1C3CXT74ZlgGe6_JY_1olB1XN4rF0dxEuIIF-xsYjHgg/edit?usp=sharing"",""พรบ!AF82"")"),7500)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IFERROR(__xludf.DUMMYFUNCTION("IMPORTRANGE(""https://docs.google.com/spreadsheets/d/1C3CXT74ZlgGe6_JY_1olB1XN4rF0dxEuIIF-xsYjHgg/edit?usp=sharing"",""พรบ!AG82"")"),4)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IFERROR(__xludf.DUMMYFUNCTION("IMPORTRANGE(""https://docs.google.com/spreadsheets/d/1C3CXT74ZlgGe6_JY_1olB1XN4rF0dxEuIIF-xsYjHgg/edit?usp=sharing"",""พรบ!AH82"")"),28000)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IFERROR(__xludf.DUMMYFUNCTION("IMPORTRANGE(""https://docs.google.com/spreadsheets/d/1C3CXT74ZlgGe6_JY_1olB1XN4rF0dxEuIIF-xsYjHgg/edit?usp=sharing"",""พรบ!AI82"")"),2)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IFERROR(__xludf.DUMMYFUNCTION("IMPORTRANGE(""https://docs.google.com/spreadsheets/d/1C3CXT74ZlgGe6_JY_1olB1XN4rF0dxEuIIF-xsYjHgg/edit?usp=sharing"",""กปร!C82"")"),24000)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1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15000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15000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IFERROR(__xludf.DUMMYFUNCTION("IMPORTRANGE(""https://docs.google.com/spreadsheets/d/1C3CXT74ZlgGe6_JY_1olB1XN4rF0dxEuIIF-xsYjHgg/edit?usp=sharing"",""พรบ!AJ82"")"),15000)</f>
        <v>15000</v>
      </c>
      <c r="M104" s="59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4">
        <v>0</v>
      </c>
      <c r="K106" s="54"/>
      <c r="L106" s="66"/>
      <c r="M106" s="66"/>
      <c r="N106" s="66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4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4">
        <v>1</v>
      </c>
      <c r="K108" s="54"/>
      <c r="L108" s="66"/>
      <c r="M108" s="66"/>
      <c r="N108" s="66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4">
        <v>1</v>
      </c>
      <c r="K109" s="54"/>
      <c r="L109" s="66"/>
      <c r="M109" s="66"/>
      <c r="N109" s="66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IFERROR(__xludf.DUMMYFUNCTION("IMPORTRANGE(""https://docs.google.com/spreadsheets/d/1C3CXT74ZlgGe6_JY_1olB1XN4rF0dxEuIIF-xsYjHgg/edit?usp=sharing"",""พรบ!AK82"")"),1)</f>
        <v>1</v>
      </c>
      <c r="J110" s="74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IFERROR(__xludf.DUMMYFUNCTION("IMPORTRANGE(""https://docs.google.com/spreadsheets/d/1C3CXT74ZlgGe6_JY_1olB1XN4rF0dxEuIIF-xsYjHgg/edit?usp=sharing"",""กปร!D82"")"),5000)</f>
        <v>5000</v>
      </c>
      <c r="M110" s="383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IFERROR(__xludf.DUMMYFUNCTION("IMPORTRANGE(""https://docs.google.com/spreadsheets/d/1C3CXT74ZlgGe6_JY_1olB1XN4rF0dxEuIIF-xsYjHgg/edit?usp=sharing"",""พรบ!AL82"")"),1)</f>
        <v>1</v>
      </c>
      <c r="J111" s="74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IFERROR(__xludf.DUMMYFUNCTION("IMPORTRANGE(""https://docs.google.com/spreadsheets/d/1C3CXT74ZlgGe6_JY_1olB1XN4rF0dxEuIIF-xsYjHgg/edit?usp=sharing"",""กปร!E82"")"),8000)</f>
        <v>8000</v>
      </c>
      <c r="M111" s="383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4">
        <v>0</v>
      </c>
      <c r="K112" s="54"/>
      <c r="L112" s="66"/>
      <c r="M112" s="66"/>
      <c r="N112" s="66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90">
        <v>0</v>
      </c>
      <c r="K113" s="54"/>
      <c r="L113" s="66"/>
      <c r="M113" s="66"/>
      <c r="N113" s="66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20000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24000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24000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IFERROR(__xludf.DUMMYFUNCTION("IMPORTRANGE(""https://docs.google.com/spreadsheets/d/1C3CXT74ZlgGe6_JY_1olB1XN4rF0dxEuIIF-xsYjHgg/edit?usp=sharing"",""พรบ!AM82"")"),24000)</f>
        <v>24000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1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1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IFERROR(__xludf.DUMMYFUNCTION("IMPORTRANGE(""https://docs.google.com/spreadsheets/d/1C3CXT74ZlgGe6_JY_1olB1XN4rF0dxEuIIF-xsYjHgg/edit?usp=sharing"",""พรบ!AO82"")"),20000)</f>
        <v>20000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IFERROR(__xludf.DUMMYFUNCTION("IMPORTRANGE(""https://docs.google.com/spreadsheets/d/1C3CXT74ZlgGe6_JY_1olB1XN4rF0dxEuIIF-xsYjHgg/edit?usp=sharing"",""พรบ!AP82"")"),20000)</f>
        <v>20000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IFERROR(__xludf.DUMMYFUNCTION("IMPORTRANGE(""https://docs.google.com/spreadsheets/d/1C3CXT74ZlgGe6_JY_1olB1XN4rF0dxEuIIF-xsYjHgg/edit?usp=sharing"",""กปร!F82"")"),5000)</f>
        <v>5000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IFERROR(__xludf.DUMMYFUNCTION("IMPORTRANGE(""https://docs.google.com/spreadsheets/d/1C3CXT74ZlgGe6_JY_1olB1XN4rF0dxEuIIF-xsYjHgg/edit?usp=sharing"",""พรบ!AQ82"")"),15)</f>
        <v>15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IFERROR(__xludf.DUMMYFUNCTION("IMPORTRANGE(""https://docs.google.com/spreadsheets/d/1C3CXT74ZlgGe6_JY_1olB1XN4rF0dxEuIIF-xsYjHgg/edit?usp=sharing"",""กปร!G82"")"),15000)</f>
        <v>15000</v>
      </c>
      <c r="M126" s="383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IFERROR(__xludf.DUMMYFUNCTION("IMPORTRANGE(""https://docs.google.com/spreadsheets/d/1C3CXT74ZlgGe6_JY_1olB1XN4rF0dxEuIIF-xsYjHgg/edit?usp=sharing"",""พรบ!AR82"")"),0)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IFERROR(__xludf.DUMMYFUNCTION("IMPORTRANGE(""https://docs.google.com/spreadsheets/d/1C3CXT74ZlgGe6_JY_1olB1XN4rF0dxEuIIF-xsYjHgg/edit?usp=sharing"",""พรบ!AS82"")"),0)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IFERROR(__xludf.DUMMYFUNCTION("IMPORTRANGE(""https://docs.google.com/spreadsheets/d/1C3CXT74ZlgGe6_JY_1olB1XN4rF0dxEuIIF-xsYjHgg/edit?usp=sharing"",""กปร!H82"")"),0)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IFERROR(__xludf.DUMMYFUNCTION("IMPORTRANGE(""https://docs.google.com/spreadsheets/d/1C3CXT74ZlgGe6_JY_1olB1XN4rF0dxEuIIF-xsYjHgg/edit?usp=sharing"",""พรบ!AT82"")"),0)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IFERROR(__xludf.DUMMYFUNCTION("IMPORTRANGE(""https://docs.google.com/spreadsheets/d/1C3CXT74ZlgGe6_JY_1olB1XN4rF0dxEuIIF-xsYjHgg/edit?usp=sharing"",""กปร!I82"")"),0)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IFERROR(__xludf.DUMMYFUNCTION("IMPORTRANGE(""https://docs.google.com/spreadsheets/d/1C3CXT74ZlgGe6_JY_1olB1XN4rF0dxEuIIF-xsYjHgg/edit?usp=sharing"",""พรบ!AU82"")"),0)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IFERROR(__xludf.DUMMYFUNCTION("IMPORTRANGE(""https://docs.google.com/spreadsheets/d/1C3CXT74ZlgGe6_JY_1olB1XN4rF0dxEuIIF-xsYjHgg/edit?usp=sharing"",""กปร!J82"")"),0)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0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0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IFERROR(__xludf.DUMMYFUNCTION("IMPORTRANGE(""https://docs.google.com/spreadsheets/d/1C3CXT74ZlgGe6_JY_1olB1XN4rF0dxEuIIF-xsYjHgg/edit?usp=sharing"",""พรบ!AY82"")"),0)</f>
        <v>0</v>
      </c>
      <c r="M148" s="58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0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3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3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3">
        <v>0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3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IFERROR(__xludf.DUMMYFUNCTION("IMPORTRANGE(""https://docs.google.com/spreadsheets/d/1C3CXT74ZlgGe6_JY_1olB1XN4rF0dxEuIIF-xsYjHgg/edit?usp=sharing"",""พรบ!BA82"")"),0)</f>
        <v>0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3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38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20</v>
      </c>
      <c r="J169" s="191">
        <f>+J180</f>
        <v>0</v>
      </c>
      <c r="K169" s="192">
        <f ca="1">IF(I169&gt;0,J169*100/I169,0)</f>
        <v>0</v>
      </c>
      <c r="L169" s="193">
        <f ca="1">L170+L171</f>
        <v>71400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IFERROR(__xludf.DUMMYFUNCTION("IMPORTRANGE(""https://docs.google.com/spreadsheets/d/1C3CXT74ZlgGe6_JY_1olB1XN4rF0dxEuIIF-xsYjHgg/edit?usp=sharing"",""พรบ!BD82"")"),0)</f>
        <v>0</v>
      </c>
      <c r="M172" s="59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IFERROR(__xludf.DUMMYFUNCTION("IMPORTRANGE(""https://docs.google.com/spreadsheets/d/1C3CXT74ZlgGe6_JY_1olB1XN4rF0dxEuIIF-xsYjHgg/edit?usp=sharing"",""พรบ!BE82"")"),71400)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4"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4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4">
        <v>1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4">
        <v>1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IFERROR(__xludf.DUMMYFUNCTION("IMPORTRANGE(""https://docs.google.com/spreadsheets/d/1C3CXT74ZlgGe6_JY_1olB1XN4rF0dxEuIIF-xsYjHgg/edit?usp=sharing"",""พรบ!BF82"")"),1)</f>
        <v>1</v>
      </c>
      <c r="J179" s="74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IFERROR(__xludf.DUMMYFUNCTION("IMPORTRANGE(""https://docs.google.com/spreadsheets/d/1C3CXT74ZlgGe6_JY_1olB1XN4rF0dxEuIIF-xsYjHgg/edit?usp=sharing"",""พรบ!BG82"")"),20)</f>
        <v>20</v>
      </c>
      <c r="J180" s="74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IFERROR(__xludf.DUMMYFUNCTION("IMPORTRANGE(""https://docs.google.com/spreadsheets/d/1C3CXT74ZlgGe6_JY_1olB1XN4rF0dxEuIIF-xsYjHgg/edit?usp=sharing"",""พรบ!BH82"")"),20)</f>
        <v>20</v>
      </c>
      <c r="J181" s="74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IFERROR(__xludf.DUMMYFUNCTION("IMPORTRANGE(""https://docs.google.com/spreadsheets/d/1C3CXT74ZlgGe6_JY_1olB1XN4rF0dxEuIIF-xsYjHgg/edit?usp=sharing"",""พรบ!BI82"")"),1)</f>
        <v>1</v>
      </c>
      <c r="J182" s="74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4"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121"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20</v>
      </c>
      <c r="J185" s="191">
        <f>+J195</f>
        <v>0</v>
      </c>
      <c r="K185" s="192">
        <f ca="1">IF(I185&gt;0,J185*100/I185,0)</f>
        <v>0</v>
      </c>
      <c r="L185" s="193">
        <f ca="1">L186+L187</f>
        <v>183600</v>
      </c>
      <c r="M185" s="193">
        <f>SUM(M186:M187)</f>
        <v>11000</v>
      </c>
      <c r="N185" s="192">
        <f ca="1">IF(L185&gt;0,M185*100/L185,0)</f>
        <v>5.9912854030501093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11000</v>
      </c>
      <c r="N187" s="55">
        <f t="shared" ca="1" si="42"/>
        <v>5.9912854030501093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IFERROR(__xludf.DUMMYFUNCTION("IMPORTRANGE(""https://docs.google.com/spreadsheets/d/1C3CXT74ZlgGe6_JY_1olB1XN4rF0dxEuIIF-xsYjHgg/edit?usp=sharing"",""พรบ!BK82"")"),0)</f>
        <v>0</v>
      </c>
      <c r="M188" s="59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IFERROR(__xludf.DUMMYFUNCTION("IMPORTRANGE(""https://docs.google.com/spreadsheets/d/1C3CXT74ZlgGe6_JY_1olB1XN4rF0dxEuIIF-xsYjHgg/edit?usp=sharing"",""พรบ!BL82"")"),183600)</f>
        <v>183600</v>
      </c>
      <c r="M189" s="59">
        <v>11000</v>
      </c>
      <c r="N189" s="58">
        <f t="shared" ca="1" si="42"/>
        <v>5.9912854030501093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v>1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4">
        <v>1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4">
        <v>1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IFERROR(__xludf.DUMMYFUNCTION("IMPORTRANGE(""https://docs.google.com/spreadsheets/d/1C3CXT74ZlgGe6_JY_1olB1XN4rF0dxEuIIF-xsYjHgg/edit?usp=sharing"",""พรบ!BM82"")"),20)</f>
        <v>20</v>
      </c>
      <c r="J195" s="74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4"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30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95360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95360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IFERROR(__xludf.DUMMYFUNCTION("IMPORTRANGE(""https://docs.google.com/spreadsheets/d/1C3CXT74ZlgGe6_JY_1olB1XN4rF0dxEuIIF-xsYjHgg/edit?usp=sharing"",""พรบ!BP82"")"),95360)</f>
        <v>95360</v>
      </c>
      <c r="M203" s="59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4">
        <v>0</v>
      </c>
      <c r="K205" s="54"/>
      <c r="L205" s="66"/>
      <c r="M205" s="66"/>
      <c r="N205" s="66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4"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4">
        <v>1</v>
      </c>
      <c r="K207" s="54"/>
      <c r="L207" s="66"/>
      <c r="M207" s="66"/>
      <c r="N207" s="66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4">
        <v>1</v>
      </c>
      <c r="K208" s="54"/>
      <c r="L208" s="66"/>
      <c r="M208" s="66"/>
      <c r="N208" s="66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IFERROR(__xludf.DUMMYFUNCTION("IMPORTRANGE(""https://docs.google.com/spreadsheets/d/1C3CXT74ZlgGe6_JY_1olB1XN4rF0dxEuIIF-xsYjHgg/edit?usp=sharing"",""พรบ!BQ82"")"),30)</f>
        <v>30</v>
      </c>
      <c r="J209" s="74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54"/>
      <c r="L210" s="66"/>
      <c r="M210" s="66"/>
      <c r="N210" s="66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IFERROR(__xludf.DUMMYFUNCTION("IMPORTRANGE(""https://docs.google.com/spreadsheets/d/1C3CXT74ZlgGe6_JY_1olB1XN4rF0dxEuIIF-xsYjHgg/edit?usp=sharing"",""พรบ!BR82"")"),30)</f>
        <v>30</v>
      </c>
      <c r="J211" s="74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4">
        <v>0</v>
      </c>
      <c r="K212" s="54"/>
      <c r="L212" s="66"/>
      <c r="M212" s="66"/>
      <c r="N212" s="66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201">
        <v>0</v>
      </c>
      <c r="K213" s="54"/>
      <c r="L213" s="66"/>
      <c r="M213" s="66"/>
      <c r="N213" s="66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1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231600</v>
      </c>
      <c r="M214" s="211">
        <f>SUM(M215:M216)</f>
        <v>17201</v>
      </c>
      <c r="N214" s="210">
        <f ca="1">IF(L214&gt;0,M214*100/L214,0)</f>
        <v>7.4270293609671851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231600</v>
      </c>
      <c r="M216" s="58">
        <f t="shared" si="49"/>
        <v>17201</v>
      </c>
      <c r="N216" s="58">
        <f t="shared" ca="1" si="48"/>
        <v>7.4270293609671851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IFERROR(__xludf.DUMMYFUNCTION("IMPORTRANGE(""https://docs.google.com/spreadsheets/d/1C3CXT74ZlgGe6_JY_1olB1XN4rF0dxEuIIF-xsYjHgg/edit?usp=sharing"",""พรบ!BU82"")"),231600)</f>
        <v>231600</v>
      </c>
      <c r="M218" s="59">
        <v>17201</v>
      </c>
      <c r="N218" s="58">
        <f t="shared" ca="1" si="48"/>
        <v>7.4270293609671851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4">
        <v>0</v>
      </c>
      <c r="K220" s="54"/>
      <c r="L220" s="66"/>
      <c r="M220" s="66"/>
      <c r="N220" s="66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4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4">
        <v>1</v>
      </c>
      <c r="K222" s="54"/>
      <c r="L222" s="66"/>
      <c r="M222" s="66"/>
      <c r="N222" s="66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4">
        <v>1</v>
      </c>
      <c r="K223" s="54"/>
      <c r="L223" s="66"/>
      <c r="M223" s="66"/>
      <c r="N223" s="66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IFERROR(__xludf.DUMMYFUNCTION("IMPORTRANGE(""https://docs.google.com/spreadsheets/d/1C3CXT74ZlgGe6_JY_1olB1XN4rF0dxEuIIF-xsYjHgg/edit?usp=sharing"",""พรบ!BV82"")"),1)</f>
        <v>1</v>
      </c>
      <c r="J224" s="74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4">
        <v>0</v>
      </c>
      <c r="K225" s="54"/>
      <c r="L225" s="66"/>
      <c r="M225" s="66"/>
      <c r="N225" s="66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90">
        <v>0</v>
      </c>
      <c r="K226" s="54"/>
      <c r="L226" s="66"/>
      <c r="M226" s="66"/>
      <c r="N226" s="66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240</v>
      </c>
      <c r="J228" s="212">
        <f ca="1">J240</f>
        <v>20</v>
      </c>
      <c r="K228" s="192">
        <f ca="1">IF(I228&gt;0,J228*100/I228,0)</f>
        <v>8.3333333333333339</v>
      </c>
      <c r="L228" s="193">
        <f ca="1">L229+L230</f>
        <v>624360</v>
      </c>
      <c r="M228" s="193">
        <f>SUM(M229:M230)</f>
        <v>45543</v>
      </c>
      <c r="N228" s="192">
        <f ca="1">IF(L228&gt;0,M228*100/L228,0)</f>
        <v>7.2943494137997309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624360</v>
      </c>
      <c r="M230" s="58">
        <f t="shared" si="51"/>
        <v>45543</v>
      </c>
      <c r="N230" s="58">
        <f t="shared" ca="1" si="50"/>
        <v>7.2943494137997309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IFERROR(__xludf.DUMMYFUNCTION("IMPORTRANGE(""https://docs.google.com/spreadsheets/d/1C3CXT74ZlgGe6_JY_1olB1XN4rF0dxEuIIF-xsYjHgg/edit?usp=sharing"",""พรบ!BX82"")"),194400)</f>
        <v>194400</v>
      </c>
      <c r="M231" s="59">
        <v>31640</v>
      </c>
      <c r="N231" s="58">
        <f t="shared" ca="1" si="50"/>
        <v>16.275720164609055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IFERROR(__xludf.DUMMYFUNCTION("IMPORTRANGE(""https://docs.google.com/spreadsheets/d/1C3CXT74ZlgGe6_JY_1olB1XN4rF0dxEuIIF-xsYjHgg/edit?usp=sharing"",""พรบ!BY82"")"),429960)</f>
        <v>429960</v>
      </c>
      <c r="M232" s="59">
        <v>13903</v>
      </c>
      <c r="N232" s="58">
        <f t="shared" ca="1" si="50"/>
        <v>3.2335566099172017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IFERROR(__xludf.DUMMYFUNCTION("IMPORTRANGE(""https://docs.google.com/spreadsheets/d/1AGHcLOeeYFL3K4b9R1dSzyJy00PE_ra89DNTVfnxSWM/edit?usp=sharing"",""รวมที่ทำกิน!J71"")"),16)</f>
        <v>16</v>
      </c>
      <c r="K234" s="215"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IFERROR(__xludf.DUMMYFUNCTION("IMPORTRANGE(""https://docs.google.com/spreadsheets/d/1C3CXT74ZlgGe6_JY_1olB1XN4rF0dxEuIIF-xsYjHgg/edit?usp=sharing"",""พรบ!BZ82"")"),2510)</f>
        <v>2510</v>
      </c>
      <c r="J235" s="73">
        <f ca="1">IFERROR(__xludf.DUMMYFUNCTION("IMPORTRANGE(""https://docs.google.com/spreadsheets/d/1AGHcLOeeYFL3K4b9R1dSzyJy00PE_ra89DNTVfnxSWM/edit?usp=sharing"",""รวมที่ทำกิน!L71"")"),302.76)</f>
        <v>302.76</v>
      </c>
      <c r="K235" s="215">
        <f t="shared" ref="K235:K236" ca="1" si="52">IF(I235&gt;0,J235*100/I235,0)</f>
        <v>12.06215139442231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IFERROR(__xludf.DUMMYFUNCTION("IMPORTRANGE(""https://docs.google.com/spreadsheets/d/1C3CXT74ZlgGe6_JY_1olB1XN4rF0dxEuIIF-xsYjHgg/edit?usp=sharing"",""พรบ!CA82"")"),240)</f>
        <v>240</v>
      </c>
      <c r="J236" s="73">
        <f ca="1">IFERROR(__xludf.DUMMYFUNCTION("IMPORTRANGE(""https://docs.google.com/spreadsheets/d/1AGHcLOeeYFL3K4b9R1dSzyJy00PE_ra89DNTVfnxSWM/edit?usp=sharing"",""รวมที่ทำกิน!O71"")"),22)</f>
        <v>22</v>
      </c>
      <c r="K236" s="215">
        <f t="shared" ca="1" si="52"/>
        <v>9.1666666666666661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IFERROR(__xludf.DUMMYFUNCTION("IMPORTRANGE(""https://docs.google.com/spreadsheets/d/1AGHcLOeeYFL3K4b9R1dSzyJy00PE_ra89DNTVfnxSWM/edit?usp=sharing"",""รวมที่ทำกิน!Q71"")"),286.71)</f>
        <v>286.70999999999998</v>
      </c>
      <c r="K237" s="215"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IFERROR(__xludf.DUMMYFUNCTION("IMPORTRANGE(""https://docs.google.com/spreadsheets/d/1C3CXT74ZlgGe6_JY_1olB1XN4rF0dxEuIIF-xsYjHgg/edit?usp=sharing"",""พรบ!CB82"")"),240)</f>
        <v>240</v>
      </c>
      <c r="J238" s="73">
        <f ca="1">IFERROR(__xludf.DUMMYFUNCTION("IMPORTRANGE(""https://docs.google.com/spreadsheets/d/1AGHcLOeeYFL3K4b9R1dSzyJy00PE_ra89DNTVfnxSWM/edit?usp=sharing"",""รวมที่ทำกิน!S71"")"),10)</f>
        <v>10</v>
      </c>
      <c r="K238" s="215">
        <f ca="1">IF(I238&gt;0,J238*100/I238,0)</f>
        <v>4.166666666666667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IFERROR(__xludf.DUMMYFUNCTION("IMPORTRANGE(""https://docs.google.com/spreadsheets/d/1AGHcLOeeYFL3K4b9R1dSzyJy00PE_ra89DNTVfnxSWM/edit?usp=sharing"",""รวมที่ทำกิน!U71"")"),145.78)</f>
        <v>145.78</v>
      </c>
      <c r="K239" s="215"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IFERROR(__xludf.DUMMYFUNCTION("IMPORTRANGE(""https://docs.google.com/spreadsheets/d/1C3CXT74ZlgGe6_JY_1olB1XN4rF0dxEuIIF-xsYjHgg/edit?usp=sharing"",""พรบ!CC82"")"),240)</f>
        <v>240</v>
      </c>
      <c r="J240" s="73">
        <f ca="1">IFERROR(__xludf.DUMMYFUNCTION("IMPORTRANGE(""https://docs.google.com/spreadsheets/d/1AGHcLOeeYFL3K4b9R1dSzyJy00PE_ra89DNTVfnxSWM/edit?usp=sharing"",""รวมที่ทำกิน!W71"")"),20)</f>
        <v>20</v>
      </c>
      <c r="K240" s="215">
        <f ca="1">IF(I240&gt;0,J240*100/I240,0)</f>
        <v>8.3333333333333339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IFERROR(__xludf.DUMMYFUNCTION("IMPORTRANGE(""https://docs.google.com/spreadsheets/d/1AGHcLOeeYFL3K4b9R1dSzyJy00PE_ra89DNTVfnxSWM/edit?usp=sharing"",""รวมที่ทำกิน!Y71"")"),267.08)</f>
        <v>267.08</v>
      </c>
      <c r="K241" s="387"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2060897</v>
      </c>
      <c r="M242" s="230">
        <f t="shared" si="53"/>
        <v>28626</v>
      </c>
      <c r="N242" s="230">
        <f ca="1">+IF(L242&gt;0,M242*100/L242,0)</f>
        <v>1.3890068256686288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175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369210</v>
      </c>
      <c r="M244" s="246">
        <f t="shared" si="56"/>
        <v>9542</v>
      </c>
      <c r="N244" s="246">
        <f ca="1">+IF(L244&gt;0,M244*100/L244,0)</f>
        <v>2.5844370412502369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35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369210</v>
      </c>
      <c r="M247" s="55">
        <f t="shared" si="59"/>
        <v>9542</v>
      </c>
      <c r="N247" s="55">
        <f t="shared" ca="1" si="58"/>
        <v>2.5844370412502369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IFERROR(__xludf.DUMMYFUNCTION("IMPORTRANGE(""https://docs.google.com/spreadsheets/d/1C3CXT74ZlgGe6_JY_1olB1XN4rF0dxEuIIF-xsYjHgg/edit?usp=sharing"",""งบกองทุน!d82"")"),0)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IFERROR(__xludf.DUMMYFUNCTION("IMPORTRANGE(""https://docs.google.com/spreadsheets/d/1C3CXT74ZlgGe6_JY_1olB1XN4rF0dxEuIIF-xsYjHgg/edit?usp=sharing"",""งบกองทุน!e82"")"),369210)</f>
        <v>369210</v>
      </c>
      <c r="M249" s="58">
        <f>SUM(M250:M253)</f>
        <v>9542</v>
      </c>
      <c r="N249" s="58">
        <f t="shared" ca="1" si="58"/>
        <v>2.5844370412502369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9542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1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IFERROR(__xludf.DUMMYFUNCTION("IMPORTRANGE(""https://docs.google.com/spreadsheets/d/1C3CXT74ZlgGe6_JY_1olB1XN4rF0dxEuIIF-xsYjHgg/edit?usp=sharing"",""งบกองทุน!f82"")"),0)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175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IFERROR(__xludf.DUMMYFUNCTION("IMPORTRANGE(""https://docs.google.com/spreadsheets/d/1C3CXT74ZlgGe6_JY_1olB1XN4rF0dxEuIIF-xsYjHgg/edit?usp=sharing"",""งบกองทุน!H82"")"),35)</f>
        <v>35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IFERROR(__xludf.DUMMYFUNCTION("IMPORTRANGE(""https://docs.google.com/spreadsheets/d/1C3CXT74ZlgGe6_JY_1olB1XN4rF0dxEuIIF-xsYjHgg/edit?usp=sharing"",""งบกองทุน!i82"")"),125)</f>
        <v>125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35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IFERROR(__xludf.DUMMYFUNCTION("IMPORTRANGE(""https://docs.google.com/spreadsheets/d/1C3CXT74ZlgGe6_JY_1olB1XN4rF0dxEuIIF-xsYjHgg/edit?usp=sharing"",""งบกองทุน!k82"")"),50)</f>
        <v>50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35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IFERROR(__xludf.DUMMYFUNCTION("IMPORTRANGE(""https://docs.google.com/spreadsheets/d/1C3CXT74ZlgGe6_JY_1olB1XN4rF0dxEuIIF-xsYjHgg/edit?usp=sharing"",""งบกองทุน!m82"")"),0)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175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IFERROR(__xludf.DUMMYFUNCTION("IMPORTRANGE(""https://docs.google.com/spreadsheets/d/1C3CXT74ZlgGe6_JY_1olB1XN4rF0dxEuIIF-xsYjHgg/edit?usp=sharing"",""งบกองทุน!o82"")"),50)</f>
        <v>50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IFERROR(__xludf.DUMMYFUNCTION("IMPORTRANGE(""https://docs.google.com/spreadsheets/d/1C3CXT74ZlgGe6_JY_1olB1XN4rF0dxEuIIF-xsYjHgg/edit?usp=sharing"",""งบกองทุน!p82"")"),125)</f>
        <v>125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500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460140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50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460140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IFERROR(__xludf.DUMMYFUNCTION("IMPORTRANGE(""https://docs.google.com/spreadsheets/d/1C3CXT74ZlgGe6_JY_1olB1XN4rF0dxEuIIF-xsYjHgg/edit?usp=sharing"",""งบกองทุน!r82"")"),0)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IFERROR(__xludf.DUMMYFUNCTION("IMPORTRANGE(""https://docs.google.com/spreadsheets/d/1C3CXT74ZlgGe6_JY_1olB1XN4rF0dxEuIIF-xsYjHgg/edit?usp=sharing"",""งบกองทุน!s82"")"),460140)</f>
        <v>460140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IFERROR(__xludf.DUMMYFUNCTION("IMPORTRANGE(""https://docs.google.com/spreadsheets/d/1C3CXT74ZlgGe6_JY_1olB1XN4rF0dxEuIIF-xsYjHgg/edit?usp=sharing"",""งบกองทุน!v82"")"),50)</f>
        <v>50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IFERROR(__xludf.DUMMYFUNCTION("IMPORTRANGE(""https://docs.google.com/spreadsheets/d/1C3CXT74ZlgGe6_JY_1olB1XN4rF0dxEuIIF-xsYjHgg/edit?usp=sharing"",""งบกองทุน!w82"")"),500)</f>
        <v>500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IFERROR(__xludf.DUMMYFUNCTION("IMPORTRANGE(""https://docs.google.com/spreadsheets/d/1C3CXT74ZlgGe6_JY_1olB1XN4rF0dxEuIIF-xsYjHgg/edit?usp=sharing"",""งบกองทุน!x82"")"),50)</f>
        <v>50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135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159950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45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159950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IFERROR(__xludf.DUMMYFUNCTION("IMPORTRANGE(""https://docs.google.com/spreadsheets/d/1C3CXT74ZlgGe6_JY_1olB1XN4rF0dxEuIIF-xsYjHgg/edit?usp=sharing"",""งบกองทุน!z82"")"),0)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IFERROR(__xludf.DUMMYFUNCTION("IMPORTRANGE(""https://docs.google.com/spreadsheets/d/1C3CXT74ZlgGe6_JY_1olB1XN4rF0dxEuIIF-xsYjHgg/edit?usp=sharing"",""งบกองทุน!aa82"")"),159950)</f>
        <v>159950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45</v>
      </c>
      <c r="J311" s="84">
        <f t="shared" ca="1" si="73"/>
        <v>0</v>
      </c>
      <c r="K311" s="85">
        <f t="shared" ref="K311:K327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IFERROR(__xludf.DUMMYFUNCTION("IMPORTRANGE(""https://docs.google.com/spreadsheets/d/1C3CXT74ZlgGe6_JY_1olB1XN4rF0dxEuIIF-xsYjHgg/edit?usp=sharing"",""งบกองทุน!ae82"")"),10)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IFERROR(__xludf.DUMMYFUNCTION("IMPORTRANGE(""https://docs.google.com/spreadsheets/d/1C3CXT74ZlgGe6_JY_1olB1XN4rF0dxEuIIF-xsYjHgg/edit?usp=sharing"",""งบกองทุน!ad82"")"),30)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IFERROR(__xludf.DUMMYFUNCTION("IMPORTRANGE(""https://docs.google.com/spreadsheets/d/1C3CXT74ZlgGe6_JY_1olB1XN4rF0dxEuIIF-xsYjHgg/edit?usp=sharing"",""งบกองทุน!af82"")"),10)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IFERROR(__xludf.DUMMYFUNCTION("IMPORTRANGE(""https://docs.google.com/spreadsheets/d/1C3CXT74ZlgGe6_JY_1olB1XN4rF0dxEuIIF-xsYjHgg/edit?usp=sharing"",""งบกองทุน!ag82"")"),10)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IFERROR(__xludf.DUMMYFUNCTION("IMPORTRANGE(""https://docs.google.com/spreadsheets/d/1C3CXT74ZlgGe6_JY_1olB1XN4rF0dxEuIIF-xsYjHgg/edit?usp=sharing"",""งบกองทุน!ai82"")"),25)</f>
        <v>25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IFERROR(__xludf.DUMMYFUNCTION("IMPORTRANGE(""https://docs.google.com/spreadsheets/d/1C3CXT74ZlgGe6_JY_1olB1XN4rF0dxEuIIF-xsYjHgg/edit?usp=sharing"",""งบกองทุน!ah82"")"),75)</f>
        <v>75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IFERROR(__xludf.DUMMYFUNCTION("IMPORTRANGE(""https://docs.google.com/spreadsheets/d/1C3CXT74ZlgGe6_JY_1olB1XN4rF0dxEuIIF-xsYjHgg/edit?usp=sharing"",""งบกองทุน!aj82"")"),25)</f>
        <v>25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IFERROR(__xludf.DUMMYFUNCTION("IMPORTRANGE(""https://docs.google.com/spreadsheets/d/1C3CXT74ZlgGe6_JY_1olB1XN4rF0dxEuIIF-xsYjHgg/edit?usp=sharing"",""งบกองทุน!ak82"")"),25)</f>
        <v>25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IFERROR(__xludf.DUMMYFUNCTION("IMPORTRANGE(""https://docs.google.com/spreadsheets/d/1C3CXT74ZlgGe6_JY_1olB1XN4rF0dxEuIIF-xsYjHgg/edit?usp=sharing"",""งบกองทุน!al82"")"),25)</f>
        <v>25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IFERROR(__xludf.DUMMYFUNCTION("IMPORTRANGE(""https://docs.google.com/spreadsheets/d/1C3CXT74ZlgGe6_JY_1olB1XN4rF0dxEuIIF-xsYjHgg/edit?usp=sharing"",""งบกองทุน!an82"")"),10)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IFERROR(__xludf.DUMMYFUNCTION("IMPORTRANGE(""https://docs.google.com/spreadsheets/d/1C3CXT74ZlgGe6_JY_1olB1XN4rF0dxEuIIF-xsYjHgg/edit?usp=sharing"",""งบกองทุน!am82"")"),30)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IFERROR(__xludf.DUMMYFUNCTION("IMPORTRANGE(""https://docs.google.com/spreadsheets/d/1C3CXT74ZlgGe6_JY_1olB1XN4rF0dxEuIIF-xsYjHgg/edit?usp=sharing"",""งบกองทุน!ao82"")"),10)</f>
        <v>10</v>
      </c>
      <c r="J323" s="390">
        <v>0</v>
      </c>
      <c r="K323" s="54">
        <f t="shared" ca="1" si="74"/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IFERROR(__xludf.DUMMYFUNCTION("IMPORTRANGE(""https://docs.google.com/spreadsheets/d/1C3CXT74ZlgGe6_JY_1olB1XN4rF0dxEuIIF-xsYjHgg/edit?usp=sharing"",""งบกองทุน!ap82"")"),10)</f>
        <v>10</v>
      </c>
      <c r="J324" s="390">
        <v>0</v>
      </c>
      <c r="K324" s="54">
        <f t="shared" ca="1" si="74"/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35</v>
      </c>
      <c r="J325" s="388">
        <f ca="1">IF(AND(J326=I326,J327=I327),I325,0)</f>
        <v>0</v>
      </c>
      <c r="K325" s="85">
        <f t="shared" ca="1" si="74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IFERROR(__xludf.DUMMYFUNCTION("IMPORTRANGE(""https://docs.google.com/spreadsheets/d/1C3CXT74ZlgGe6_JY_1olB1XN4rF0dxEuIIF-xsYjHgg/edit?usp=sharing"",""งบกองทุน!ar82"")"),10)</f>
        <v>10</v>
      </c>
      <c r="J326" s="390">
        <v>0</v>
      </c>
      <c r="K326" s="54">
        <f t="shared" ca="1" si="74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IFERROR(__xludf.DUMMYFUNCTION("IMPORTRANGE(""https://docs.google.com/spreadsheets/d/1C3CXT74ZlgGe6_JY_1olB1XN4rF0dxEuIIF-xsYjHgg/edit?usp=sharing"",""งบกองทุน!as82"")"),25)</f>
        <v>25</v>
      </c>
      <c r="J327" s="390">
        <v>0</v>
      </c>
      <c r="K327" s="54">
        <f t="shared" ca="1" si="74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60</v>
      </c>
      <c r="J330" s="275">
        <f>+J344</f>
        <v>20</v>
      </c>
      <c r="K330" s="276">
        <f ca="1">IF(I330&gt;0,J330*100/I330,0)</f>
        <v>33.333333333333336</v>
      </c>
      <c r="L330" s="277">
        <f t="shared" ref="L330:M330" ca="1" si="75">SUM(L331:L332)</f>
        <v>174600</v>
      </c>
      <c r="M330" s="277">
        <f t="shared" si="75"/>
        <v>0</v>
      </c>
      <c r="N330" s="277">
        <f t="shared" ref="N330:N334" ca="1" si="76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6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7">SUM(L333:L334)</f>
        <v>174600</v>
      </c>
      <c r="M332" s="58">
        <f t="shared" si="77"/>
        <v>0</v>
      </c>
      <c r="N332" s="58">
        <f t="shared" ca="1" si="76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IFERROR(__xludf.DUMMYFUNCTION("IMPORTRANGE(""https://docs.google.com/spreadsheets/d/1C3CXT74ZlgGe6_JY_1olB1XN4rF0dxEuIIF-xsYjHgg/edit?usp=sharing"",""งบกองทุน!au82"")"),0)</f>
        <v>0</v>
      </c>
      <c r="M333" s="58">
        <v>0</v>
      </c>
      <c r="N333" s="58">
        <f t="shared" ca="1" si="76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IFERROR(__xludf.DUMMYFUNCTION("IMPORTRANGE(""https://docs.google.com/spreadsheets/d/1C3CXT74ZlgGe6_JY_1olB1XN4rF0dxEuIIF-xsYjHgg/edit?usp=sharing"",""งบกองทุน!av82"")"),174600)</f>
        <v>174600</v>
      </c>
      <c r="M334" s="58">
        <f>SUM(M335:M338)</f>
        <v>0</v>
      </c>
      <c r="N334" s="58">
        <f t="shared" ca="1" si="76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8">+I345+I346+I347</f>
        <v>60</v>
      </c>
      <c r="J344" s="84">
        <f t="shared" si="78"/>
        <v>20</v>
      </c>
      <c r="K344" s="54">
        <f t="shared" ref="K344:K347" ca="1" si="79">IF(I344&gt;0,J344*100/I344,0)</f>
        <v>33.333333333333336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IFERROR(__xludf.DUMMYFUNCTION("IMPORTRANGE(""https://docs.google.com/spreadsheets/d/1C3CXT74ZlgGe6_JY_1olB1XN4rF0dxEuIIF-xsYjHgg/edit?usp=sharing"",""งบกองทุน!ay82"")"),20)</f>
        <v>20</v>
      </c>
      <c r="J345" s="74">
        <v>20</v>
      </c>
      <c r="K345" s="54">
        <f t="shared" ca="1" si="79"/>
        <v>100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IFERROR(__xludf.DUMMYFUNCTION("IMPORTRANGE(""https://docs.google.com/spreadsheets/d/1C3CXT74ZlgGe6_JY_1olB1XN4rF0dxEuIIF-xsYjHgg/edit?usp=sharing"",""งบกองทุน!az82"")"),40)</f>
        <v>40</v>
      </c>
      <c r="J346" s="74">
        <v>0</v>
      </c>
      <c r="K346" s="54">
        <f t="shared" ca="1" si="79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IFERROR(__xludf.DUMMYFUNCTION("IMPORTRANGE(""https://docs.google.com/spreadsheets/d/1C3CXT74ZlgGe6_JY_1olB1XN4rF0dxEuIIF-xsYjHgg/edit?usp=sharing"",""งบกองทุน!Ba82"")"),0)</f>
        <v>0</v>
      </c>
      <c r="J347" s="74">
        <v>0</v>
      </c>
      <c r="K347" s="54">
        <f t="shared" ca="1" si="79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103036</v>
      </c>
      <c r="J350" s="244">
        <f>+J359</f>
        <v>0</v>
      </c>
      <c r="K350" s="245">
        <f ca="1">IF(I350&gt;0,J350*100/I350,0)</f>
        <v>0</v>
      </c>
      <c r="L350" s="246">
        <f t="shared" ref="L350:M350" ca="1" si="80">SUM(L351:L352)</f>
        <v>710357</v>
      </c>
      <c r="M350" s="246">
        <f t="shared" si="80"/>
        <v>9542</v>
      </c>
      <c r="N350" s="246">
        <f t="shared" ref="N350:N354" ca="1" si="81">+IF(L350&gt;0,M350*100/L350,0)</f>
        <v>1.3432682439956247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1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2">SUM(L353:L354)</f>
        <v>710357</v>
      </c>
      <c r="M352" s="58">
        <f t="shared" si="82"/>
        <v>9542</v>
      </c>
      <c r="N352" s="58">
        <f t="shared" ca="1" si="81"/>
        <v>1.3432682439956247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IFERROR(__xludf.DUMMYFUNCTION("IMPORTRANGE(""https://docs.google.com/spreadsheets/d/1C3CXT74ZlgGe6_JY_1olB1XN4rF0dxEuIIF-xsYjHgg/edit?usp=sharing"",""งบกองทุน!Bc82"")"),0)</f>
        <v>0</v>
      </c>
      <c r="M353" s="58">
        <v>0</v>
      </c>
      <c r="N353" s="58">
        <f t="shared" ca="1" si="81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IFERROR(__xludf.DUMMYFUNCTION("IMPORTRANGE(""https://docs.google.com/spreadsheets/d/1C3CXT74ZlgGe6_JY_1olB1XN4rF0dxEuIIF-xsYjHgg/edit?usp=sharing"",""งบกองทุน!Bd82"")"),710357)</f>
        <v>710357</v>
      </c>
      <c r="M354" s="58">
        <f>SUM(M355:M358)</f>
        <v>9542</v>
      </c>
      <c r="N354" s="58">
        <f t="shared" ca="1" si="81"/>
        <v>1.3432682439956247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9542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IFERROR(__xludf.DUMMYFUNCTION("IMPORTRANGE(""https://docs.google.com/spreadsheets/d/1C3CXT74ZlgGe6_JY_1olB1XN4rF0dxEuIIF-xsYjHgg/edit?usp=sharing"",""งบกองทุน!BE82"")"),103036)</f>
        <v>103036</v>
      </c>
      <c r="J359" s="148">
        <f>+J376</f>
        <v>0</v>
      </c>
      <c r="K359" s="149">
        <f t="shared" ref="K359:K425" ca="1" si="83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103036</v>
      </c>
      <c r="J360" s="283">
        <f t="shared" ref="J360:J361" si="84">+J362+J364+J366</f>
        <v>0</v>
      </c>
      <c r="K360" s="85">
        <f t="shared" ca="1" si="83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IFERROR(__xludf.DUMMYFUNCTION("IMPORTRANGE(""https://docs.google.com/spreadsheets/d/1C3CXT74ZlgGe6_JY_1olB1XN4rF0dxEuIIF-xsYjHgg/edit?usp=sharing"",""งบกองทุน!BF82"")"),10641)</f>
        <v>10641</v>
      </c>
      <c r="J361" s="283">
        <f t="shared" si="84"/>
        <v>0</v>
      </c>
      <c r="K361" s="85">
        <f t="shared" ca="1" si="83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3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3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3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3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3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3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103036</v>
      </c>
      <c r="J368" s="283">
        <f t="shared" ref="J368:J369" si="85">+J370+J372+J374</f>
        <v>0</v>
      </c>
      <c r="K368" s="85">
        <f t="shared" ca="1" si="83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10641</v>
      </c>
      <c r="J369" s="283">
        <f t="shared" si="85"/>
        <v>0</v>
      </c>
      <c r="K369" s="85">
        <f t="shared" ca="1" si="83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3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3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3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3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3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3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103036</v>
      </c>
      <c r="J376" s="283">
        <f t="shared" ref="J376:J377" si="86">+J378+J380+J382+J388</f>
        <v>0</v>
      </c>
      <c r="K376" s="85">
        <f t="shared" ca="1" si="83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10641</v>
      </c>
      <c r="J377" s="283">
        <f t="shared" si="86"/>
        <v>0</v>
      </c>
      <c r="K377" s="85">
        <f t="shared" ca="1" si="83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3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3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3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3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283">
        <v>0</v>
      </c>
      <c r="J382" s="283">
        <f t="shared" ref="J382:J383" si="87">J384+J386</f>
        <v>0</v>
      </c>
      <c r="K382" s="85">
        <f t="shared" si="83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283">
        <v>0</v>
      </c>
      <c r="J383" s="283">
        <f t="shared" si="87"/>
        <v>0</v>
      </c>
      <c r="K383" s="85">
        <f t="shared" si="83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3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3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3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3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3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3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IFERROR(__xludf.DUMMYFUNCTION("IMPORTRANGE(""https://docs.google.com/spreadsheets/d/1C3CXT74ZlgGe6_JY_1olB1XN4rF0dxEuIIF-xsYjHgg/edit?usp=sharing"",""งบกองทุน!cd82"")"),660)</f>
        <v>660</v>
      </c>
      <c r="J390" s="148">
        <f>J391</f>
        <v>0</v>
      </c>
      <c r="K390" s="149">
        <f t="shared" ca="1" si="83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IFERROR(__xludf.DUMMYFUNCTION("IMPORTRANGE(""https://docs.google.com/spreadsheets/d/1C3CXT74ZlgGe6_JY_1olB1XN4rF0dxEuIIF-xsYjHgg/edit?usp=sharing"",""งบกองทุน!cd82"")"),660)</f>
        <v>660</v>
      </c>
      <c r="J391" s="283">
        <f t="shared" ref="J391:J392" si="88">J393+J401+J407</f>
        <v>0</v>
      </c>
      <c r="K391" s="85">
        <f t="shared" ca="1" si="83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IFERROR(__xludf.DUMMYFUNCTION("IMPORTRANGE(""https://docs.google.com/spreadsheets/d/1C3CXT74ZlgGe6_JY_1olB1XN4rF0dxEuIIF-xsYjHgg/edit?usp=sharing"",""งบกองทุน!cc82"")"),94)</f>
        <v>94</v>
      </c>
      <c r="J392" s="283">
        <f t="shared" si="88"/>
        <v>0</v>
      </c>
      <c r="K392" s="85">
        <f t="shared" ca="1" si="83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89">J395+J397+J399</f>
        <v>0</v>
      </c>
      <c r="K393" s="54">
        <f t="shared" si="83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89"/>
        <v>0</v>
      </c>
      <c r="K394" s="54">
        <f t="shared" si="83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54">
        <f t="shared" si="83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54">
        <f t="shared" si="83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54">
        <f t="shared" si="83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54">
        <f t="shared" si="83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54">
        <f t="shared" si="83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54">
        <f t="shared" si="83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0">+J403+J405</f>
        <v>0</v>
      </c>
      <c r="K401" s="54">
        <f t="shared" si="83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0"/>
        <v>0</v>
      </c>
      <c r="K402" s="54">
        <f t="shared" si="83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54">
        <f t="shared" si="83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54">
        <f t="shared" si="83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54">
        <f t="shared" si="83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54">
        <f t="shared" si="83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54">
        <f t="shared" si="83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54">
        <f t="shared" si="83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IFERROR(__xludf.DUMMYFUNCTION("IMPORTRANGE(""https://docs.google.com/spreadsheets/d/1C3CXT74ZlgGe6_JY_1olB1XN4rF0dxEuIIF-xsYjHgg/edit?usp=sharing"",""งบกองทุน!cz82"")"),0)</f>
        <v>0</v>
      </c>
      <c r="J409" s="148">
        <f ca="1">+J412+J414</f>
        <v>0</v>
      </c>
      <c r="K409" s="149">
        <f t="shared" ca="1" si="83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IFERROR(__xludf.DUMMYFUNCTION("IMPORTRANGE(""https://docs.google.com/spreadsheets/d/1C3CXT74ZlgGe6_JY_1olB1XN4rF0dxEuIIF-xsYjHgg/edit?usp=sharing"",""งบกองทุน!cz82"")"),0)</f>
        <v>0</v>
      </c>
      <c r="J410" s="399">
        <f t="shared" ref="J410:J411" ca="1" si="91">SUM(J412,J414)</f>
        <v>0</v>
      </c>
      <c r="K410" s="400">
        <f t="shared" ca="1" si="83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IFERROR(__xludf.DUMMYFUNCTION("IMPORTRANGE(""https://docs.google.com/spreadsheets/d/1C3CXT74ZlgGe6_JY_1olB1XN4rF0dxEuIIF-xsYjHgg/edit?usp=sharing"",""งบกองทุน!cy82"")"),0)</f>
        <v>0</v>
      </c>
      <c r="J411" s="402">
        <f t="shared" ca="1" si="91"/>
        <v>0</v>
      </c>
      <c r="K411" s="403">
        <f t="shared" ca="1" si="83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IFERROR(__xludf.DUMMYFUNCTION("IMPORTRANGE(""https://docs.google.com/spreadsheets/d/1C3CXT74ZlgGe6_JY_1olB1XN4rF0dxEuIIF-xsYjHgg/edit?usp=sharing"",""งบกองทุน!db82"")"),0)</f>
        <v>0</v>
      </c>
      <c r="K412" s="407">
        <f t="shared" si="83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IFERROR(__xludf.DUMMYFUNCTION("IMPORTRANGE(""https://docs.google.com/spreadsheets/d/1C3CXT74ZlgGe6_JY_1olB1XN4rF0dxEuIIF-xsYjHgg/edit?usp=sharing"",""งบกองทุน!da82"")"),0)</f>
        <v>0</v>
      </c>
      <c r="K413" s="407">
        <f t="shared" si="83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IFERROR(__xludf.DUMMYFUNCTION("IMPORTRANGE(""https://docs.google.com/spreadsheets/d/1C3CXT74ZlgGe6_JY_1olB1XN4rF0dxEuIIF-xsYjHgg/edit?usp=sharing"",""งบกองทุน!dd82"")"),0)</f>
        <v>0</v>
      </c>
      <c r="K414" s="407">
        <f t="shared" si="83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IFERROR(__xludf.DUMMYFUNCTION("IMPORTRANGE(""https://docs.google.com/spreadsheets/d/1C3CXT74ZlgGe6_JY_1olB1XN4rF0dxEuIIF-xsYjHgg/edit?usp=sharing"",""งบกองทุน!dc82"")"),0)</f>
        <v>0</v>
      </c>
      <c r="K415" s="407">
        <f t="shared" si="83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IFERROR(__xludf.DUMMYFUNCTION("IMPORTRANGE(""https://docs.google.com/spreadsheets/d/1C3CXT74ZlgGe6_JY_1olB1XN4rF0dxEuIIF-xsYjHgg/edit?usp=sharing"",""งบกองทุน!df82"")"),0)</f>
        <v>0</v>
      </c>
      <c r="K416" s="407">
        <f t="shared" si="83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IFERROR(__xludf.DUMMYFUNCTION("IMPORTRANGE(""https://docs.google.com/spreadsheets/d/1C3CXT74ZlgGe6_JY_1olB1XN4rF0dxEuIIF-xsYjHgg/edit?usp=sharing"",""งบกองทุน!de82"")"),0)</f>
        <v>0</v>
      </c>
      <c r="K417" s="407">
        <f t="shared" si="83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2">J416</f>
        <v>0</v>
      </c>
      <c r="J418" s="408">
        <f t="shared" ref="J418:J419" si="93">SUM(J420,J422,J424)</f>
        <v>0</v>
      </c>
      <c r="K418" s="409">
        <f t="shared" ca="1" si="83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2"/>
        <v>0</v>
      </c>
      <c r="J419" s="408">
        <f t="shared" si="93"/>
        <v>0</v>
      </c>
      <c r="K419" s="409">
        <f t="shared" ca="1" si="83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3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3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3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3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3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8">
        <v>0</v>
      </c>
      <c r="J425" s="414">
        <v>0</v>
      </c>
      <c r="K425" s="415">
        <f t="shared" si="83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4">I440</f>
        <v>26</v>
      </c>
      <c r="J426" s="275">
        <f t="shared" si="94"/>
        <v>0</v>
      </c>
      <c r="K426" s="276">
        <f ca="1">IF(I426&gt;0,J426*100/I426,0)</f>
        <v>0</v>
      </c>
      <c r="L426" s="277">
        <f t="shared" ref="L426:M426" ca="1" si="95">SUM(L427:L428)</f>
        <v>37740</v>
      </c>
      <c r="M426" s="277">
        <f t="shared" si="95"/>
        <v>0</v>
      </c>
      <c r="N426" s="277">
        <f t="shared" ref="N426:N430" ca="1" si="96">+IF(L426&gt;0,M426*100/L426,0)</f>
        <v>0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6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7">SUM(L429:L430)</f>
        <v>37740</v>
      </c>
      <c r="M428" s="58">
        <f t="shared" si="97"/>
        <v>0</v>
      </c>
      <c r="N428" s="58">
        <f t="shared" ca="1" si="96"/>
        <v>0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IFERROR(__xludf.DUMMYFUNCTION("IMPORTRANGE(""https://docs.google.com/spreadsheets/d/1C3CXT74ZlgGe6_JY_1olB1XN4rF0dxEuIIF-xsYjHgg/edit?usp=sharing"",""งบกองทุน!dn82"")"),0)</f>
        <v>0</v>
      </c>
      <c r="M429" s="58">
        <v>0</v>
      </c>
      <c r="N429" s="58">
        <f t="shared" ca="1" si="96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IFERROR(__xludf.DUMMYFUNCTION("IMPORTRANGE(""https://docs.google.com/spreadsheets/d/1C3CXT74ZlgGe6_JY_1olB1XN4rF0dxEuIIF-xsYjHgg/edit?usp=sharing"",""งบกองทุน!do82"")"),37740)</f>
        <v>37740</v>
      </c>
      <c r="M430" s="58">
        <f>SUM(M431:M434)</f>
        <v>0</v>
      </c>
      <c r="N430" s="58">
        <f t="shared" ca="1" si="96"/>
        <v>0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IFERROR(__xludf.DUMMYFUNCTION("IMPORTRANGE(""https://docs.google.com/spreadsheets/d/1C3CXT74ZlgGe6_JY_1olB1XN4rF0dxEuIIF-xsYjHgg/edit?usp=sharing"",""งบกองทุน!dq82"")"),26)</f>
        <v>26</v>
      </c>
      <c r="J440" s="74">
        <v>0</v>
      </c>
      <c r="K440" s="54">
        <f t="shared" ref="K440:K441" ca="1" si="98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IFERROR(__xludf.DUMMYFUNCTION("IMPORTRANGE(""https://docs.google.com/spreadsheets/d/1C3CXT74ZlgGe6_JY_1olB1XN4rF0dxEuIIF-xsYjHgg/edit?usp=sharing"",""งบกองทุน!dr82"")"),26)</f>
        <v>26</v>
      </c>
      <c r="J441" s="74">
        <v>0</v>
      </c>
      <c r="K441" s="54">
        <f t="shared" ca="1" si="98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99">SUM(I453,I455)</f>
        <v>0</v>
      </c>
      <c r="J444" s="275">
        <f t="shared" si="99"/>
        <v>0</v>
      </c>
      <c r="K444" s="276">
        <f ca="1">IF(I444&gt;0,J444*100/I444,0)</f>
        <v>0</v>
      </c>
      <c r="L444" s="277">
        <f t="shared" ref="L444:M444" ca="1" si="100">SUM(L445:L446)</f>
        <v>0</v>
      </c>
      <c r="M444" s="277">
        <f t="shared" si="100"/>
        <v>0</v>
      </c>
      <c r="N444" s="277">
        <f t="shared" ref="N444:N448" ca="1" si="101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1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2">SUM(L447:L448)</f>
        <v>0</v>
      </c>
      <c r="M446" s="58">
        <f t="shared" si="102"/>
        <v>0</v>
      </c>
      <c r="N446" s="58">
        <f t="shared" ca="1" si="101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IFERROR(__xludf.DUMMYFUNCTION("IMPORTRANGE(""https://docs.google.com/spreadsheets/d/1C3CXT74ZlgGe6_JY_1olB1XN4rF0dxEuIIF-xsYjHgg/edit?usp=sharing"",""งบกองทุน!dt82"")"),0)</f>
        <v>0</v>
      </c>
      <c r="M447" s="58">
        <v>0</v>
      </c>
      <c r="N447" s="58">
        <f t="shared" ca="1" si="101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IFERROR(__xludf.DUMMYFUNCTION("IMPORTRANGE(""https://docs.google.com/spreadsheets/d/1C3CXT74ZlgGe6_JY_1olB1XN4rF0dxEuIIF-xsYjHgg/edit?usp=sharing"",""งบกองทุน!du82"")"),0)</f>
        <v>0</v>
      </c>
      <c r="M448" s="58">
        <f>SUM(M449:M452)</f>
        <v>0</v>
      </c>
      <c r="N448" s="58">
        <f t="shared" ca="1" si="101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IFERROR(__xludf.DUMMYFUNCTION("IMPORTRANGE(""https://docs.google.com/spreadsheets/d/1C3CXT74ZlgGe6_JY_1olB1XN4rF0dxEuIIF-xsYjHgg/edit?usp=sharing"",""งบกองทุน!dw82"")"),0)</f>
        <v>0</v>
      </c>
      <c r="J453" s="73">
        <v>0</v>
      </c>
      <c r="K453" s="250">
        <f t="shared" ref="K453:K457" ca="1" si="103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IFERROR(__xludf.DUMMYFUNCTION("IMPORTRANGE(""https://docs.google.com/spreadsheets/d/1C3CXT74ZlgGe6_JY_1olB1XN4rF0dxEuIIF-xsYjHgg/edit?usp=sharing"",""งบกองทุน!dx82"")"),0)</f>
        <v>0</v>
      </c>
      <c r="J454" s="73">
        <v>0</v>
      </c>
      <c r="K454" s="250">
        <f t="shared" ca="1" si="103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IFERROR(__xludf.DUMMYFUNCTION("IMPORTRANGE(""https://docs.google.com/spreadsheets/d/1C3CXT74ZlgGe6_JY_1olB1XN4rF0dxEuIIF-xsYjHgg/edit?usp=sharing"",""งบกองทุน!dy82"")"),0)</f>
        <v>0</v>
      </c>
      <c r="J455" s="73">
        <v>0</v>
      </c>
      <c r="K455" s="250">
        <f t="shared" ca="1" si="103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IFERROR(__xludf.DUMMYFUNCTION("IMPORTRANGE(""https://docs.google.com/spreadsheets/d/1C3CXT74ZlgGe6_JY_1olB1XN4rF0dxEuIIF-xsYjHgg/edit?usp=sharing"",""งบกองทุน!dz82"")"),0)</f>
        <v>0</v>
      </c>
      <c r="J456" s="73">
        <v>0</v>
      </c>
      <c r="K456" s="250">
        <f t="shared" ca="1" si="103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1500</v>
      </c>
      <c r="J457" s="244">
        <f>+J466</f>
        <v>0</v>
      </c>
      <c r="K457" s="245">
        <f t="shared" ca="1" si="103"/>
        <v>0</v>
      </c>
      <c r="L457" s="246">
        <f t="shared" ref="L457:M457" ca="1" si="104">SUM(L458:L459)</f>
        <v>136000</v>
      </c>
      <c r="M457" s="246">
        <f t="shared" si="104"/>
        <v>9542</v>
      </c>
      <c r="N457" s="246">
        <f t="shared" ref="N457:N461" ca="1" si="105">+IF(L457&gt;0,M457*100/L457,0)</f>
        <v>7.0161764705882357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5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6">SUM(L460:L461)</f>
        <v>136000</v>
      </c>
      <c r="M459" s="58">
        <f t="shared" si="106"/>
        <v>9542</v>
      </c>
      <c r="N459" s="58">
        <f t="shared" ca="1" si="105"/>
        <v>7.0161764705882357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IFERROR(__xludf.DUMMYFUNCTION("IMPORTRANGE(""https://docs.google.com/spreadsheets/d/1C3CXT74ZlgGe6_JY_1olB1XN4rF0dxEuIIF-xsYjHgg/edit?usp=sharing"",""งบกองทุน!Eb82"")"),0)</f>
        <v>0</v>
      </c>
      <c r="M460" s="58">
        <v>0</v>
      </c>
      <c r="N460" s="58">
        <f t="shared" ca="1" si="105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IFERROR(__xludf.DUMMYFUNCTION("IMPORTRANGE(""https://docs.google.com/spreadsheets/d/1C3CXT74ZlgGe6_JY_1olB1XN4rF0dxEuIIF-xsYjHgg/edit?usp=sharing"",""งบกองทุน!Ec82"")"),136000)</f>
        <v>136000</v>
      </c>
      <c r="M461" s="58">
        <f>SUM(M462:M465)</f>
        <v>9542</v>
      </c>
      <c r="N461" s="58">
        <f t="shared" ca="1" si="105"/>
        <v>7.0161764705882357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9542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IFERROR(__xludf.DUMMYFUNCTION("IMPORTRANGE(""https://docs.google.com/spreadsheets/d/1C3CXT74ZlgGe6_JY_1olB1XN4rF0dxEuIIF-xsYjHgg/edit?usp=sharing"",""งบกองทุน!Ed82"")"),1500)</f>
        <v>1500</v>
      </c>
      <c r="J466" s="283">
        <f>+J469+J470+J471+J472</f>
        <v>0</v>
      </c>
      <c r="K466" s="85">
        <f ca="1">IF(I466&gt;0,J466*100/I466,0)</f>
        <v>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7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7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0</v>
      </c>
      <c r="K470" s="54">
        <f t="shared" si="107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7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8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8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09">SUM(L476:L477)</f>
        <v>0</v>
      </c>
      <c r="M475" s="58">
        <f t="shared" si="109"/>
        <v>0</v>
      </c>
      <c r="N475" s="58">
        <f t="shared" ca="1" si="108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IFERROR(__xludf.DUMMYFUNCTION("IMPORTRANGE(""https://docs.google.com/spreadsheets/d/1C3CXT74ZlgGe6_JY_1olB1XN4rF0dxEuIIF-xsYjHgg/edit?usp=sharing"",""งบกองทุน!Ek82"")"),0)</f>
        <v>0</v>
      </c>
      <c r="M476" s="58">
        <v>0</v>
      </c>
      <c r="N476" s="58">
        <f t="shared" ca="1" si="108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IFERROR(__xludf.DUMMYFUNCTION("IMPORTRANGE(""https://docs.google.com/spreadsheets/d/1C3CXT74ZlgGe6_JY_1olB1XN4rF0dxEuIIF-xsYjHgg/edit?usp=sharing"",""งบกองทุน!El82"")"),0)</f>
        <v>0</v>
      </c>
      <c r="M477" s="58">
        <f>SUM(M478:M481)</f>
        <v>0</v>
      </c>
      <c r="N477" s="58">
        <f t="shared" ca="1" si="108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IFERROR(__xludf.DUMMYFUNCTION("IMPORTRANGE(""https://docs.google.com/spreadsheets/d/1C3CXT74ZlgGe6_JY_1olB1XN4rF0dxEuIIF-xsYjHgg/edit?usp=sharing"",""งบกองทุน!Em82"")"),0)</f>
        <v>0</v>
      </c>
      <c r="J482" s="73">
        <f ca="1">IFERROR(__xludf.DUMMYFUNCTION("IMPORTRANGE(""https://docs.google.com/spreadsheets/d/1AGHcLOeeYFL3K4b9R1dSzyJy00PE_ra89DNTVfnxSWM/edit?usp=sharing"",""รวมที่ชุมชน!G71"")"),0)</f>
        <v>0</v>
      </c>
      <c r="K482" s="250">
        <f t="shared" ref="K482:K489" ca="1" si="110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IFERROR(__xludf.DUMMYFUNCTION("IMPORTRANGE(""https://docs.google.com/spreadsheets/d/1AGHcLOeeYFL3K4b9R1dSzyJy00PE_ra89DNTVfnxSWM/edit?usp=sharing"",""รวมที่ชุมชน!H71"")"),0)</f>
        <v>0</v>
      </c>
      <c r="K483" s="250">
        <f t="shared" si="110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IFERROR(__xludf.DUMMYFUNCTION("IMPORTRANGE(""https://docs.google.com/spreadsheets/d/1C3CXT74ZlgGe6_JY_1olB1XN4rF0dxEuIIF-xsYjHgg/edit?usp=sharing"",""งบกองทุน!Eo82"")"),0)</f>
        <v>0</v>
      </c>
      <c r="J484" s="73">
        <f ca="1">IFERROR(__xludf.DUMMYFUNCTION("IMPORTRANGE(""https://docs.google.com/spreadsheets/d/1AGHcLOeeYFL3K4b9R1dSzyJy00PE_ra89DNTVfnxSWM/edit?usp=sharing"",""รวมที่ชุมชน!J71"")"),0)</f>
        <v>0</v>
      </c>
      <c r="K484" s="250">
        <f t="shared" ca="1" si="110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IFERROR(__xludf.DUMMYFUNCTION("IMPORTRANGE(""https://docs.google.com/spreadsheets/d/1AGHcLOeeYFL3K4b9R1dSzyJy00PE_ra89DNTVfnxSWM/edit?usp=sharing"",""รวมที่ชุมชน!L71"")"),0)</f>
        <v>0</v>
      </c>
      <c r="K485" s="250">
        <f t="shared" si="110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IFERROR(__xludf.DUMMYFUNCTION("IMPORTRANGE(""https://docs.google.com/spreadsheets/d/1C3CXT74ZlgGe6_JY_1olB1XN4rF0dxEuIIF-xsYjHgg/edit?usp=sharing"",""งบกองทุน!Eq82"")"),0)</f>
        <v>0</v>
      </c>
      <c r="J486" s="73">
        <f ca="1">IFERROR(__xludf.DUMMYFUNCTION("IMPORTRANGE(""https://docs.google.com/spreadsheets/d/1AGHcLOeeYFL3K4b9R1dSzyJy00PE_ra89DNTVfnxSWM/edit?usp=sharing"",""รวมที่ชุมชน!S71"")"),0)</f>
        <v>0</v>
      </c>
      <c r="K486" s="250">
        <f t="shared" ca="1" si="110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IFERROR(__xludf.DUMMYFUNCTION("IMPORTRANGE(""https://docs.google.com/spreadsheets/d/1AGHcLOeeYFL3K4b9R1dSzyJy00PE_ra89DNTVfnxSWM/edit?usp=sharing"",""รวมที่ชุมชน!U71"")"),0)</f>
        <v>0</v>
      </c>
      <c r="K487" s="250">
        <f t="shared" si="110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IFERROR(__xludf.DUMMYFUNCTION("IMPORTRANGE(""https://docs.google.com/spreadsheets/d/1C3CXT74ZlgGe6_JY_1olB1XN4rF0dxEuIIF-xsYjHgg/edit?usp=sharing"",""งบกองทุน!Es82"")"),0)</f>
        <v>0</v>
      </c>
      <c r="J488" s="73">
        <f ca="1">IFERROR(__xludf.DUMMYFUNCTION("IMPORTRANGE(""https://docs.google.com/spreadsheets/d/1AGHcLOeeYFL3K4b9R1dSzyJy00PE_ra89DNTVfnxSWM/edit?usp=sharing"",""รวมที่ชุมชน!V71"")"),0)</f>
        <v>0</v>
      </c>
      <c r="K488" s="250">
        <f t="shared" ca="1" si="110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IFERROR(__xludf.DUMMYFUNCTION("IMPORTRANGE(""https://docs.google.com/spreadsheets/d/1AGHcLOeeYFL3K4b9R1dSzyJy00PE_ra89DNTVfnxSWM/edit?usp=sharing"",""รวมที่ชุมชน!X71"")"),0)</f>
        <v>0</v>
      </c>
      <c r="K489" s="423">
        <f t="shared" si="110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1">I504</f>
        <v>100</v>
      </c>
      <c r="J490" s="321">
        <f t="shared" si="111"/>
        <v>0</v>
      </c>
      <c r="K490" s="424">
        <f ca="1">IF(I490&gt;0,J490*100/I490,0)</f>
        <v>0</v>
      </c>
      <c r="L490" s="277">
        <f ca="1">SUM(L491,L492)</f>
        <v>12900</v>
      </c>
      <c r="M490" s="277">
        <f>SUM(M491:M492)</f>
        <v>0</v>
      </c>
      <c r="N490" s="277">
        <f t="shared" ref="N490:N494" ca="1" si="112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2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3">SUM(L493:L494)</f>
        <v>12900</v>
      </c>
      <c r="M492" s="58">
        <f t="shared" si="113"/>
        <v>0</v>
      </c>
      <c r="N492" s="58">
        <f t="shared" ca="1" si="112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IFERROR(__xludf.DUMMYFUNCTION("IMPORTRANGE(""https://docs.google.com/spreadsheets/d/1C3CXT74ZlgGe6_JY_1olB1XN4rF0dxEuIIF-xsYjHgg/edit?usp=sharing"",""งบกองทุน!Ev82"")"),0)</f>
        <v>0</v>
      </c>
      <c r="M493" s="58">
        <v>0</v>
      </c>
      <c r="N493" s="58">
        <f t="shared" ca="1" si="112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IFERROR(__xludf.DUMMYFUNCTION("IMPORTRANGE(""https://docs.google.com/spreadsheets/d/1C3CXT74ZlgGe6_JY_1olB1XN4rF0dxEuIIF-xsYjHgg/edit?usp=sharing"",""งบกองทุน!Ew82"")"),12900)</f>
        <v>12900</v>
      </c>
      <c r="M494" s="58">
        <f>SUM(M495:M498)</f>
        <v>0</v>
      </c>
      <c r="N494" s="58">
        <f t="shared" ca="1" si="112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IFERROR(__xludf.DUMMYFUNCTION("IMPORTRANGE(""https://docs.google.com/spreadsheets/d/1C3CXT74ZlgGe6_JY_1olB1XN4rF0dxEuIIF-xsYjHgg/edit?usp=sharing"",""งบกองทุน!EZ82"")"),100)</f>
        <v>100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4">I511+I512</f>
        <v>0</v>
      </c>
      <c r="J510" s="73">
        <f t="shared" si="114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IFERROR(__xludf.DUMMYFUNCTION("IMPORTRANGE(""https://docs.google.com/spreadsheets/d/1C3CXT74ZlgGe6_JY_1olB1XN4rF0dxEuIIF-xsYjHgg/edit?usp=sharing"",""งบกองทุน!ff20"")"),0)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5">I515+I516</f>
        <v>0</v>
      </c>
      <c r="J514" s="53">
        <f t="shared" si="115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6">SUM(I518:I519)</f>
        <v>0</v>
      </c>
      <c r="J517" s="73">
        <f t="shared" si="116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IFERROR(__xludf.DUMMYFUNCTION("IMPORTRANGE(""https://docs.google.com/spreadsheets/d/1muirlRDkqiswvy_NRZ3Yh955hx-PF6_HhssUYiSJj8o/edit?usp=sharing"",""กองทุน!D82"")"),996730.609999999)</f>
        <v>996730.60999999905</v>
      </c>
      <c r="J521" s="214">
        <f ca="1">IFERROR(__xludf.DUMMYFUNCTION("IMPORTRANGE(""https://docs.google.com/spreadsheets/d/1muirlRDkqiswvy_NRZ3Yh955hx-PF6_HhssUYiSJj8o/edit?usp=sharing"",""กองทุน!F82"")"),0)</f>
        <v>0</v>
      </c>
      <c r="K521" s="54">
        <f t="shared" ref="K521:K528" ca="1" si="117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IFERROR(__xludf.DUMMYFUNCTION("IMPORTRANGE(""https://docs.google.com/spreadsheets/d/1muirlRDkqiswvy_NRZ3Yh955hx-PF6_HhssUYiSJj8o/edit?usp=sharing"",""กองทุน!C82"")"),100)</f>
        <v>100</v>
      </c>
      <c r="J522" s="214">
        <f ca="1">IFERROR(__xludf.DUMMYFUNCTION("IMPORTRANGE(""https://docs.google.com/spreadsheets/d/1muirlRDkqiswvy_NRZ3Yh955hx-PF6_HhssUYiSJj8o/edit?usp=sharing"",""กองทุน!E82"")"),0)</f>
        <v>0</v>
      </c>
      <c r="K522" s="54">
        <f t="shared" ca="1" si="117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IFERROR(__xludf.DUMMYFUNCTION("IMPORTRANGE(""https://docs.google.com/spreadsheets/d/1muirlRDkqiswvy_NRZ3Yh955hx-PF6_HhssUYiSJj8o/edit?usp=sharing"",""กองทุน!I82"")"),670056.959999999)</f>
        <v>670056.95999999903</v>
      </c>
      <c r="J523" s="214">
        <f ca="1">IFERROR(__xludf.DUMMYFUNCTION("IMPORTRANGE(""https://docs.google.com/spreadsheets/d/1muirlRDkqiswvy_NRZ3Yh955hx-PF6_HhssUYiSJj8o/edit?usp=sharing"",""กองทุน!K82"")"),50430.86)</f>
        <v>50430.86</v>
      </c>
      <c r="K523" s="54">
        <f t="shared" ca="1" si="117"/>
        <v>7.5263541774120331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IFERROR(__xludf.DUMMYFUNCTION("IMPORTRANGE(""https://docs.google.com/spreadsheets/d/1muirlRDkqiswvy_NRZ3Yh955hx-PF6_HhssUYiSJj8o/edit?usp=sharing"",""กองทุน!H82"")"),27)</f>
        <v>27</v>
      </c>
      <c r="J524" s="214">
        <f ca="1">IFERROR(__xludf.DUMMYFUNCTION("IMPORTRANGE(""https://docs.google.com/spreadsheets/d/1muirlRDkqiswvy_NRZ3Yh955hx-PF6_HhssUYiSJj8o/edit?usp=sharing"",""กองทุน!J82"")"),3)</f>
        <v>3</v>
      </c>
      <c r="K524" s="54">
        <f t="shared" ca="1" si="117"/>
        <v>11.111111111111111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IFERROR(__xludf.DUMMYFUNCTION("IMPORTRANGE(""https://docs.google.com/spreadsheets/d/1muirlRDkqiswvy_NRZ3Yh955hx-PF6_HhssUYiSJj8o/edit?usp=sharing"",""กองทุน!N82"")"),0)</f>
        <v>0</v>
      </c>
      <c r="J525" s="214">
        <f ca="1">IFERROR(__xludf.DUMMYFUNCTION("IMPORTRANGE(""https://docs.google.com/spreadsheets/d/1muirlRDkqiswvy_NRZ3Yh955hx-PF6_HhssUYiSJj8o/edit?usp=sharing"",""กองทุน!P82"")"),0)</f>
        <v>0</v>
      </c>
      <c r="K525" s="54">
        <f t="shared" ca="1" si="117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IFERROR(__xludf.DUMMYFUNCTION("IMPORTRANGE(""https://docs.google.com/spreadsheets/d/1muirlRDkqiswvy_NRZ3Yh955hx-PF6_HhssUYiSJj8o/edit?usp=sharing"",""กองทุน!M82"")"),0)</f>
        <v>0</v>
      </c>
      <c r="J526" s="214">
        <f ca="1">IFERROR(__xludf.DUMMYFUNCTION("IMPORTRANGE(""https://docs.google.com/spreadsheets/d/1muirlRDkqiswvy_NRZ3Yh955hx-PF6_HhssUYiSJj8o/edit?usp=sharing"",""กองทุน!O82"")"),0)</f>
        <v>0</v>
      </c>
      <c r="K526" s="54">
        <f t="shared" ca="1" si="117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IFERROR(__xludf.DUMMYFUNCTION("IMPORTRANGE(""https://docs.google.com/spreadsheets/d/1muirlRDkqiswvy_NRZ3Yh955hx-PF6_HhssUYiSJj8o/edit?usp=sharing"",""กองทุน!S82"")"),450000)</f>
        <v>450000</v>
      </c>
      <c r="J527" s="214">
        <f ca="1">IFERROR(__xludf.DUMMYFUNCTION("IMPORTRANGE(""https://docs.google.com/spreadsheets/d/1muirlRDkqiswvy_NRZ3Yh955hx-PF6_HhssUYiSJj8o/edit?usp=sharing"",""กองทุน!U82"")"),0)</f>
        <v>0</v>
      </c>
      <c r="K527" s="54">
        <f t="shared" ca="1" si="117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IFERROR(__xludf.DUMMYFUNCTION("IMPORTRANGE(""https://docs.google.com/spreadsheets/d/1muirlRDkqiswvy_NRZ3Yh955hx-PF6_HhssUYiSJj8o/edit?usp=sharing"",""กองทุน!R82"")"),15)</f>
        <v>15</v>
      </c>
      <c r="J528" s="342">
        <f ca="1">IFERROR(__xludf.DUMMYFUNCTION("IMPORTRANGE(""https://docs.google.com/spreadsheets/d/1muirlRDkqiswvy_NRZ3Yh955hx-PF6_HhssUYiSJj8o/edit?usp=sharing"",""กองทุน!T82"")"),0)</f>
        <v>0</v>
      </c>
      <c r="K528" s="319">
        <f t="shared" ca="1" si="117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G18" sqref="G18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222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1343575</v>
      </c>
      <c r="M6" s="18">
        <f t="shared" si="0"/>
        <v>172989.81</v>
      </c>
      <c r="N6" s="19">
        <f ca="1">IF(L6&gt;0,M6*100/L6,0)</f>
        <v>12.875337067152932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IFERROR(__xludf.DUMMYFUNCTION("IMPORTRANGE(""https://docs.google.com/spreadsheets/d/1C3CXT74ZlgGe6_JY_1olB1XN4rF0dxEuIIF-xsYjHgg/edit?usp=sharing"",""พรบ!C83"")"),0)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IFERROR(__xludf.DUMMYFUNCTION("IMPORTRANGE(""https://docs.google.com/spreadsheets/d/1C3CXT74ZlgGe6_JY_1olB1XN4rF0dxEuIIF-xsYjHgg/edit?usp=sharing"",""พรบ!D83"")"),0)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IFERROR(__xludf.DUMMYFUNCTION("IMPORTRANGE(""https://docs.google.com/spreadsheets/d/1C3CXT74ZlgGe6_JY_1olB1XN4rF0dxEuIIF-xsYjHgg/edit?usp=sharing"",""พรบ!E83"")"),0)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IFERROR(__xludf.DUMMYFUNCTION("IMPORTRANGE(""https://docs.google.com/spreadsheets/d/1C3CXT74ZlgGe6_JY_1olB1XN4rF0dxEuIIF-xsYjHgg/edit?usp=sharing"",""พรบ!H83"")"),0)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IFERROR(__xludf.DUMMYFUNCTION("IMPORTRANGE(""https://docs.google.com/spreadsheets/d/1C3CXT74ZlgGe6_JY_1olB1XN4rF0dxEuIIF-xsYjHgg/edit?usp=sharing"",""พรบ!I83"")"),0)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IFERROR(__xludf.DUMMYFUNCTION("IMPORTRANGE(""https://docs.google.com/spreadsheets/d/1C3CXT74ZlgGe6_JY_1olB1XN4rF0dxEuIIF-xsYjHgg/edit?usp=sharing"",""พรบ!J83"")"),0)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IFERROR(__xludf.DUMMYFUNCTION("IMPORTRANGE(""https://docs.google.com/spreadsheets/d/1C3CXT74ZlgGe6_JY_1olB1XN4rF0dxEuIIF-xsYjHgg/edit?usp=sharing"",""พรบ!K83"")"),0)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IFERROR(__xludf.DUMMYFUNCTION("IMPORTRANGE(""https://docs.google.com/spreadsheets/d/1C3CXT74ZlgGe6_JY_1olB1XN4rF0dxEuIIF-xsYjHgg/edit?usp=sharing"",""พรบ!L83"")"),0)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IFERROR(__xludf.DUMMYFUNCTION("IMPORTRANGE(""https://docs.google.com/spreadsheets/d/1C3CXT74ZlgGe6_JY_1olB1XN4rF0dxEuIIF-xsYjHgg/edit?usp=sharing"",""พรบ!M83"")"),0)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IFERROR(__xludf.DUMMYFUNCTION("IMPORTRANGE(""https://docs.google.com/spreadsheets/d/1C3CXT74ZlgGe6_JY_1olB1XN4rF0dxEuIIF-xsYjHgg/edit?usp=sharing"",""พรบ!N83"")"),0)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122100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1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IFERROR(__xludf.DUMMYFUNCTION("IMPORTRANGE(""https://docs.google.com/spreadsheets/d/1C3CXT74ZlgGe6_JY_1olB1XN4rF0dxEuIIF-xsYjHgg/edit?usp=sharing"",""พรบ!O83"")"),122100)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IFERROR(__xludf.DUMMYFUNCTION("IMPORTRANGE(""https://docs.google.com/spreadsheets/d/1C3CXT74ZlgGe6_JY_1olB1XN4rF0dxEuIIF-xsYjHgg/edit?usp=sharing"",""พรบ!P83"")"),0)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IFERROR(__xludf.DUMMYFUNCTION("IMPORTRANGE(""https://docs.google.com/spreadsheets/d/1C3CXT74ZlgGe6_JY_1olB1XN4rF0dxEuIIF-xsYjHgg/edit?usp=sharing"",""พรบ!Q83"")"),122100)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v>0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4">
        <v>1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4">
        <v>0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IFERROR(__xludf.DUMMYFUNCTION("IMPORTRANGE(""https://docs.google.com/spreadsheets/d/1C3CXT74ZlgGe6_JY_1olB1XN4rF0dxEuIIF-xsYjHgg/edit?usp=sharing"",""พรบ!R83"")"),1)</f>
        <v>1</v>
      </c>
      <c r="J43" s="74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IFERROR(__xludf.DUMMYFUNCTION("IMPORTRANGE(""https://docs.google.com/spreadsheets/d/1C3CXT74ZlgGe6_JY_1olB1XN4rF0dxEuIIF-xsYjHgg/edit?usp=sharing"",""พรบ!S83"")"),4)</f>
        <v>4</v>
      </c>
      <c r="J44" s="74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IFERROR(__xludf.DUMMYFUNCTION("IMPORTRANGE(""https://docs.google.com/spreadsheets/d/1C3CXT74ZlgGe6_JY_1olB1XN4rF0dxEuIIF-xsYjHgg/edit?usp=sharing"",""พรบ!T83"")"),4)</f>
        <v>4</v>
      </c>
      <c r="J45" s="74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IFERROR(__xludf.DUMMYFUNCTION("IMPORTRANGE(""https://docs.google.com/spreadsheets/d/1C3CXT74ZlgGe6_JY_1olB1XN4rF0dxEuIIF-xsYjHgg/edit?usp=sharing"",""พรบ!U83"")"),4)</f>
        <v>4</v>
      </c>
      <c r="J46" s="74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IFERROR(__xludf.DUMMYFUNCTION("IMPORTRANGE(""https://docs.google.com/spreadsheets/d/1C3CXT74ZlgGe6_JY_1olB1XN4rF0dxEuIIF-xsYjHgg/edit?usp=sharing"",""พรบ!V83"")"),4)</f>
        <v>4</v>
      </c>
      <c r="J47" s="74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IFERROR(__xludf.DUMMYFUNCTION("IMPORTRANGE(""https://docs.google.com/spreadsheets/d/1C3CXT74ZlgGe6_JY_1olB1XN4rF0dxEuIIF-xsYjHgg/edit?usp=sharing"",""พรบ!W83"")"),1)</f>
        <v>1</v>
      </c>
      <c r="J48" s="74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4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IFERROR(__xludf.DUMMYFUNCTION("IMPORTRANGE(""https://docs.google.com/spreadsheets/d/1C3CXT74ZlgGe6_JY_1olB1XN4rF0dxEuIIF-xsYjHgg/edit?usp=sharing"",""พรบ!Y83"")"),0)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IFERROR(__xludf.DUMMYFUNCTION("IMPORTRANGE(""https://docs.google.com/spreadsheets/d/1C3CXT74ZlgGe6_JY_1olB1XN4rF0dxEuIIF-xsYjHgg/edit?usp=sharing"",""พรบ!Z83"")"),0)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IFERROR(__xludf.DUMMYFUNCTION("IMPORTRANGE(""https://docs.google.com/spreadsheets/d/1C3CXT74ZlgGe6_JY_1olB1XN4rF0dxEuIIF-xsYjHgg/edit?usp=sharing"",""พรบ!AA83"")"),0)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15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389400</v>
      </c>
      <c r="M68" s="150">
        <f t="shared" si="16"/>
        <v>55356.31</v>
      </c>
      <c r="N68" s="149">
        <f ca="1">IF(L68&gt;0,M68*100/L68,0)</f>
        <v>14.215796096558808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389400</v>
      </c>
      <c r="M71" s="151">
        <f>SUM(M72:M73)</f>
        <v>55356.31</v>
      </c>
      <c r="N71" s="55">
        <f t="shared" ca="1" si="17"/>
        <v>14.215796096558808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IFERROR(__xludf.DUMMYFUNCTION("IMPORTRANGE(""https://docs.google.com/spreadsheets/d/1C3CXT74ZlgGe6_JY_1olB1XN4rF0dxEuIIF-xsYjHgg/edit?usp=sharing"",""พรบ!AD83"")"),331400)</f>
        <v>331400</v>
      </c>
      <c r="M72" s="59">
        <v>55356.31</v>
      </c>
      <c r="N72" s="58">
        <f t="shared" ca="1" si="17"/>
        <v>16.703774894387447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58000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1</v>
      </c>
      <c r="K74" s="158">
        <f ca="1">IF(I74&gt;0,J74*100/I74,0)</f>
        <v>25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IFERROR(__xludf.DUMMYFUNCTION("IMPORTRANGE(""https://docs.google.com/spreadsheets/d/1C3CXT74ZlgGe6_JY_1olB1XN4rF0dxEuIIF-xsYjHgg/edit?usp=sharing"",""พรบ!AF83"")"),7500)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IFERROR(__xludf.DUMMYFUNCTION("IMPORTRANGE(""https://docs.google.com/spreadsheets/d/1C3CXT74ZlgGe6_JY_1olB1XN4rF0dxEuIIF-xsYjHgg/edit?usp=sharing"",""พรบ!AG83"")"),4)</f>
        <v>4</v>
      </c>
      <c r="J83" s="74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22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22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IFERROR(__xludf.DUMMYFUNCTION("IMPORTRANGE(""https://docs.google.com/spreadsheets/d/1C3CXT74ZlgGe6_JY_1olB1XN4rF0dxEuIIF-xsYjHgg/edit?usp=sharing"",""พรบ!AH83"")"),28000)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0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IFERROR(__xludf.DUMMYFUNCTION("IMPORTRANGE(""https://docs.google.com/spreadsheets/d/1C3CXT74ZlgGe6_JY_1olB1XN4rF0dxEuIIF-xsYjHgg/edit?usp=sharing"",""พรบ!AI83"")"),2)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IFERROR(__xludf.DUMMYFUNCTION("IMPORTRANGE(""https://docs.google.com/spreadsheets/d/1C3CXT74ZlgGe6_JY_1olB1XN4rF0dxEuIIF-xsYjHgg/edit?usp=sharing"",""กปร!C83"")"),24000)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IFERROR(__xludf.DUMMYFUNCTION("IMPORTRANGE(""https://docs.google.com/spreadsheets/d/1C3CXT74ZlgGe6_JY_1olB1XN4rF0dxEuIIF-xsYjHgg/edit?usp=sharing"",""พรบ!AJ83"")"),0)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IFERROR(__xludf.DUMMYFUNCTION("IMPORTRANGE(""https://docs.google.com/spreadsheets/d/1C3CXT74ZlgGe6_JY_1olB1XN4rF0dxEuIIF-xsYjHgg/edit?usp=sharing"",""พรบ!AK83"")"),0)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IFERROR(__xludf.DUMMYFUNCTION("IMPORTRANGE(""https://docs.google.com/spreadsheets/d/1C3CXT74ZlgGe6_JY_1olB1XN4rF0dxEuIIF-xsYjHgg/edit?usp=sharing"",""กปร!D83"")"),0)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IFERROR(__xludf.DUMMYFUNCTION("IMPORTRANGE(""https://docs.google.com/spreadsheets/d/1C3CXT74ZlgGe6_JY_1olB1XN4rF0dxEuIIF-xsYjHgg/edit?usp=sharing"",""พรบ!AL83"")"),0)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IFERROR(__xludf.DUMMYFUNCTION("IMPORTRANGE(""https://docs.google.com/spreadsheets/d/1C3CXT74ZlgGe6_JY_1olB1XN4rF0dxEuIIF-xsYjHgg/edit?usp=sharing"",""กปร!E83"")"),0)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22500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22500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IFERROR(__xludf.DUMMYFUNCTION("IMPORTRANGE(""https://docs.google.com/spreadsheets/d/1C3CXT74ZlgGe6_JY_1olB1XN4rF0dxEuIIF-xsYjHgg/edit?usp=sharing"",""พรบ!AM83"")"),22500)</f>
        <v>22500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1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IFERROR(__xludf.DUMMYFUNCTION("IMPORTRANGE(""https://docs.google.com/spreadsheets/d/1C3CXT74ZlgGe6_JY_1olB1XN4rF0dxEuIIF-xsYjHgg/edit?usp=sharing"",""พรบ!AO83"")"),10000)</f>
        <v>10000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IFERROR(__xludf.DUMMYFUNCTION("IMPORTRANGE(""https://docs.google.com/spreadsheets/d/1C3CXT74ZlgGe6_JY_1olB1XN4rF0dxEuIIF-xsYjHgg/edit?usp=sharing"",""พรบ!AP83"")"),10000)</f>
        <v>10000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IFERROR(__xludf.DUMMYFUNCTION("IMPORTRANGE(""https://docs.google.com/spreadsheets/d/1C3CXT74ZlgGe6_JY_1olB1XN4rF0dxEuIIF-xsYjHgg/edit?usp=sharing"",""กปร!F83"")"),3500)</f>
        <v>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IFERROR(__xludf.DUMMYFUNCTION("IMPORTRANGE(""https://docs.google.com/spreadsheets/d/1C3CXT74ZlgGe6_JY_1olB1XN4rF0dxEuIIF-xsYjHgg/edit?usp=sharing"",""พรบ!AQ83"")"),15)</f>
        <v>15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IFERROR(__xludf.DUMMYFUNCTION("IMPORTRANGE(""https://docs.google.com/spreadsheets/d/1C3CXT74ZlgGe6_JY_1olB1XN4rF0dxEuIIF-xsYjHgg/edit?usp=sharing"",""กปร!G83"")"),15000)</f>
        <v>15000</v>
      </c>
      <c r="M126" s="383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IFERROR(__xludf.DUMMYFUNCTION("IMPORTRANGE(""https://docs.google.com/spreadsheets/d/1C3CXT74ZlgGe6_JY_1olB1XN4rF0dxEuIIF-xsYjHgg/edit?usp=sharing"",""พรบ!AR83"")"),0)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IFERROR(__xludf.DUMMYFUNCTION("IMPORTRANGE(""https://docs.google.com/spreadsheets/d/1C3CXT74ZlgGe6_JY_1olB1XN4rF0dxEuIIF-xsYjHgg/edit?usp=sharing"",""พรบ!AS83"")"),0)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IFERROR(__xludf.DUMMYFUNCTION("IMPORTRANGE(""https://docs.google.com/spreadsheets/d/1C3CXT74ZlgGe6_JY_1olB1XN4rF0dxEuIIF-xsYjHgg/edit?usp=sharing"",""กปร!H83"")"),0)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IFERROR(__xludf.DUMMYFUNCTION("IMPORTRANGE(""https://docs.google.com/spreadsheets/d/1C3CXT74ZlgGe6_JY_1olB1XN4rF0dxEuIIF-xsYjHgg/edit?usp=sharing"",""พรบ!AT83"")"),0)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IFERROR(__xludf.DUMMYFUNCTION("IMPORTRANGE(""https://docs.google.com/spreadsheets/d/1C3CXT74ZlgGe6_JY_1olB1XN4rF0dxEuIIF-xsYjHgg/edit?usp=sharing"",""กปร!I83"")"),0)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IFERROR(__xludf.DUMMYFUNCTION("IMPORTRANGE(""https://docs.google.com/spreadsheets/d/1C3CXT74ZlgGe6_JY_1olB1XN4rF0dxEuIIF-xsYjHgg/edit?usp=sharing"",""พรบ!AU83"")"),0)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IFERROR(__xludf.DUMMYFUNCTION("IMPORTRANGE(""https://docs.google.com/spreadsheets/d/1C3CXT74ZlgGe6_JY_1olB1XN4rF0dxEuIIF-xsYjHgg/edit?usp=sharing"",""กปร!J83"")"),0)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18525</v>
      </c>
      <c r="N144" s="149">
        <f ca="1">IF(L144&gt;0,M144*100/L144,0)</f>
        <v>87.692307692307693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18525</v>
      </c>
      <c r="N146" s="55">
        <f t="shared" ca="1" si="37"/>
        <v>87.692307692307693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IFERROR(__xludf.DUMMYFUNCTION("IMPORTRANGE(""https://docs.google.com/spreadsheets/d/1C3CXT74ZlgGe6_JY_1olB1XN4rF0dxEuIIF-xsYjHgg/edit?usp=sharing"",""พรบ!AY83"")"),21125)</f>
        <v>21125</v>
      </c>
      <c r="M148" s="59">
        <v>18525</v>
      </c>
      <c r="N148" s="58">
        <f t="shared" ca="1" si="37"/>
        <v>87.692307692307693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IFERROR(__xludf.DUMMYFUNCTION("IMPORTRANGE(""https://docs.google.com/spreadsheets/d/1C3CXT74ZlgGe6_JY_1olB1XN4rF0dxEuIIF-xsYjHgg/edit?usp=sharing"",""พรบ!BA83"")"),15)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20</v>
      </c>
      <c r="J169" s="191">
        <f>+J180</f>
        <v>0</v>
      </c>
      <c r="K169" s="192">
        <f ca="1">IF(I169&gt;0,J169*100/I169,0)</f>
        <v>0</v>
      </c>
      <c r="L169" s="193">
        <f ca="1">L170+L171</f>
        <v>71400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IFERROR(__xludf.DUMMYFUNCTION("IMPORTRANGE(""https://docs.google.com/spreadsheets/d/1C3CXT74ZlgGe6_JY_1olB1XN4rF0dxEuIIF-xsYjHgg/edit?usp=sharing"",""พรบ!BD83"")"),0)</f>
        <v>0</v>
      </c>
      <c r="M172" s="59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IFERROR(__xludf.DUMMYFUNCTION("IMPORTRANGE(""https://docs.google.com/spreadsheets/d/1C3CXT74ZlgGe6_JY_1olB1XN4rF0dxEuIIF-xsYjHgg/edit?usp=sharing"",""พรบ!BE83"")"),71400)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4"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4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4">
        <v>1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4">
        <v>0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IFERROR(__xludf.DUMMYFUNCTION("IMPORTRANGE(""https://docs.google.com/spreadsheets/d/1C3CXT74ZlgGe6_JY_1olB1XN4rF0dxEuIIF-xsYjHgg/edit?usp=sharing"",""พรบ!BF83"")"),1)</f>
        <v>1</v>
      </c>
      <c r="J179" s="74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IFERROR(__xludf.DUMMYFUNCTION("IMPORTRANGE(""https://docs.google.com/spreadsheets/d/1C3CXT74ZlgGe6_JY_1olB1XN4rF0dxEuIIF-xsYjHgg/edit?usp=sharing"",""พรบ!BG83"")"),20)</f>
        <v>20</v>
      </c>
      <c r="J180" s="74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IFERROR(__xludf.DUMMYFUNCTION("IMPORTRANGE(""https://docs.google.com/spreadsheets/d/1C3CXT74ZlgGe6_JY_1olB1XN4rF0dxEuIIF-xsYjHgg/edit?usp=sharing"",""พรบ!BH83"")"),20)</f>
        <v>20</v>
      </c>
      <c r="J181" s="74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IFERROR(__xludf.DUMMYFUNCTION("IMPORTRANGE(""https://docs.google.com/spreadsheets/d/1C3CXT74ZlgGe6_JY_1olB1XN4rF0dxEuIIF-xsYjHgg/edit?usp=sharing"",""พรบ!BI83"")"),1)</f>
        <v>1</v>
      </c>
      <c r="J182" s="74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4"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121"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IFERROR(__xludf.DUMMYFUNCTION("IMPORTRANGE(""https://docs.google.com/spreadsheets/d/1C3CXT74ZlgGe6_JY_1olB1XN4rF0dxEuIIF-xsYjHgg/edit?usp=sharing"",""พรบ!BK83"")"),0)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IFERROR(__xludf.DUMMYFUNCTION("IMPORTRANGE(""https://docs.google.com/spreadsheets/d/1C3CXT74ZlgGe6_JY_1olB1XN4rF0dxEuIIF-xsYjHgg/edit?usp=sharing"",""พรบ!BL83"")"),0)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IFERROR(__xludf.DUMMYFUNCTION("IMPORTRANGE(""https://docs.google.com/spreadsheets/d/1C3CXT74ZlgGe6_JY_1olB1XN4rF0dxEuIIF-xsYjHgg/edit?usp=sharing"",""พรบ!BM83"")"),0)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IFERROR(__xludf.DUMMYFUNCTION("IMPORTRANGE(""https://docs.google.com/spreadsheets/d/1C3CXT74ZlgGe6_JY_1olB1XN4rF0dxEuIIF-xsYjHgg/edit?usp=sharing"",""พรบ!BP83"")"),0)</f>
        <v>0</v>
      </c>
      <c r="M203" s="58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IFERROR(__xludf.DUMMYFUNCTION("IMPORTRANGE(""https://docs.google.com/spreadsheets/d/1C3CXT74ZlgGe6_JY_1olB1XN4rF0dxEuIIF-xsYjHgg/edit?usp=sharing"",""พรบ!BQ83"")"),0)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IFERROR(__xludf.DUMMYFUNCTION("IMPORTRANGE(""https://docs.google.com/spreadsheets/d/1C3CXT74ZlgGe6_JY_1olB1XN4rF0dxEuIIF-xsYjHgg/edit?usp=sharing"",""พรบ!BR83"")"),0)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198"/>
      <c r="B214" s="188" t="s">
        <v>96</v>
      </c>
      <c r="C214" s="199"/>
      <c r="D214" s="200"/>
      <c r="E214" s="188"/>
      <c r="F214" s="188"/>
      <c r="G214" s="189"/>
      <c r="H214" s="190" t="s">
        <v>97</v>
      </c>
      <c r="I214" s="191">
        <f t="shared" ref="I214:J214" ca="1" si="47">I224</f>
        <v>0</v>
      </c>
      <c r="J214" s="191">
        <f t="shared" si="47"/>
        <v>0</v>
      </c>
      <c r="K214" s="192">
        <f ca="1">IF(I214&gt;0,J214*100/I214,0)</f>
        <v>0</v>
      </c>
      <c r="L214" s="193">
        <f ca="1">L215+L216</f>
        <v>0</v>
      </c>
      <c r="M214" s="193">
        <f>SUM(M215:M216)</f>
        <v>0</v>
      </c>
      <c r="N214" s="192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IFERROR(__xludf.DUMMYFUNCTION("IMPORTRANGE(""https://docs.google.com/spreadsheets/d/1C3CXT74ZlgGe6_JY_1olB1XN4rF0dxEuIIF-xsYjHgg/edit?usp=sharing"",""พรบ!BU83"")"),0)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IFERROR(__xludf.DUMMYFUNCTION("IMPORTRANGE(""https://docs.google.com/spreadsheets/d/1C3CXT74ZlgGe6_JY_1olB1XN4rF0dxEuIIF-xsYjHgg/edit?usp=sharing"",""พรบ!BV83"")"),0)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163</v>
      </c>
      <c r="J228" s="212">
        <f ca="1">J240</f>
        <v>17</v>
      </c>
      <c r="K228" s="192">
        <f ca="1">IF(I228&gt;0,J228*100/I228,0)</f>
        <v>10.429447852760736</v>
      </c>
      <c r="L228" s="193">
        <f ca="1">L229+L230</f>
        <v>739550</v>
      </c>
      <c r="M228" s="193">
        <f>SUM(M229:M230)</f>
        <v>99108.5</v>
      </c>
      <c r="N228" s="192">
        <f ca="1">IF(L228&gt;0,M228*100/L228,0)</f>
        <v>13.401189912784801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739550</v>
      </c>
      <c r="M230" s="58">
        <f t="shared" si="51"/>
        <v>99108.5</v>
      </c>
      <c r="N230" s="58">
        <f t="shared" ca="1" si="50"/>
        <v>13.401189912784801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IFERROR(__xludf.DUMMYFUNCTION("IMPORTRANGE(""https://docs.google.com/spreadsheets/d/1C3CXT74ZlgGe6_JY_1olB1XN4rF0dxEuIIF-xsYjHgg/edit?usp=sharing"",""พรบ!BX83"")"),388800)</f>
        <v>388800</v>
      </c>
      <c r="M231" s="59">
        <v>63329</v>
      </c>
      <c r="N231" s="58">
        <f t="shared" ca="1" si="50"/>
        <v>16.288323045267489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IFERROR(__xludf.DUMMYFUNCTION("IMPORTRANGE(""https://docs.google.com/spreadsheets/d/1C3CXT74ZlgGe6_JY_1olB1XN4rF0dxEuIIF-xsYjHgg/edit?usp=sharing"",""พรบ!BY83"")"),350750)</f>
        <v>350750</v>
      </c>
      <c r="M232" s="59">
        <v>35779.5</v>
      </c>
      <c r="N232" s="58">
        <f t="shared" ca="1" si="50"/>
        <v>10.200855310049892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IFERROR(__xludf.DUMMYFUNCTION("IMPORTRANGE(""https://docs.google.com/spreadsheets/d/1AGHcLOeeYFL3K4b9R1dSzyJy00PE_ra89DNTVfnxSWM/edit?usp=sharing"",""รวมที่ทำกิน!J72"")"),36)</f>
        <v>36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IFERROR(__xludf.DUMMYFUNCTION("IMPORTRANGE(""https://docs.google.com/spreadsheets/d/1C3CXT74ZlgGe6_JY_1olB1XN4rF0dxEuIIF-xsYjHgg/edit?usp=sharing"",""พรบ!BZ83"")"),1840)</f>
        <v>1840</v>
      </c>
      <c r="J235" s="73">
        <f ca="1">IFERROR(__xludf.DUMMYFUNCTION("IMPORTRANGE(""https://docs.google.com/spreadsheets/d/1AGHcLOeeYFL3K4b9R1dSzyJy00PE_ra89DNTVfnxSWM/edit?usp=sharing"",""รวมที่ทำกิน!L72"")"),233.51)</f>
        <v>233.51</v>
      </c>
      <c r="K235" s="215">
        <f t="shared" ca="1" si="52"/>
        <v>12.690760869565217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IFERROR(__xludf.DUMMYFUNCTION("IMPORTRANGE(""https://docs.google.com/spreadsheets/d/1C3CXT74ZlgGe6_JY_1olB1XN4rF0dxEuIIF-xsYjHgg/edit?usp=sharing"",""พรบ!CA83"")"),163)</f>
        <v>163</v>
      </c>
      <c r="J236" s="73">
        <f ca="1">IFERROR(__xludf.DUMMYFUNCTION("IMPORTRANGE(""https://docs.google.com/spreadsheets/d/1AGHcLOeeYFL3K4b9R1dSzyJy00PE_ra89DNTVfnxSWM/edit?usp=sharing"",""รวมที่ทำกิน!O72"")"),16)</f>
        <v>16</v>
      </c>
      <c r="K236" s="215">
        <f t="shared" ca="1" si="52"/>
        <v>9.8159509202453989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IFERROR(__xludf.DUMMYFUNCTION("IMPORTRANGE(""https://docs.google.com/spreadsheets/d/1AGHcLOeeYFL3K4b9R1dSzyJy00PE_ra89DNTVfnxSWM/edit?usp=sharing"",""รวมที่ทำกิน!Q72"")"),123.82)</f>
        <v>123.82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IFERROR(__xludf.DUMMYFUNCTION("IMPORTRANGE(""https://docs.google.com/spreadsheets/d/1C3CXT74ZlgGe6_JY_1olB1XN4rF0dxEuIIF-xsYjHgg/edit?usp=sharing"",""พรบ!CB83"")"),163)</f>
        <v>163</v>
      </c>
      <c r="J238" s="73">
        <f ca="1">IFERROR(__xludf.DUMMYFUNCTION("IMPORTRANGE(""https://docs.google.com/spreadsheets/d/1AGHcLOeeYFL3K4b9R1dSzyJy00PE_ra89DNTVfnxSWM/edit?usp=sharing"",""รวมที่ทำกิน!S72"")"),3)</f>
        <v>3</v>
      </c>
      <c r="K238" s="215">
        <f t="shared" ca="1" si="52"/>
        <v>1.8404907975460123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IFERROR(__xludf.DUMMYFUNCTION("IMPORTRANGE(""https://docs.google.com/spreadsheets/d/1AGHcLOeeYFL3K4b9R1dSzyJy00PE_ra89DNTVfnxSWM/edit?usp=sharing"",""รวมที่ทำกิน!U72"")"),16.06)</f>
        <v>16.059999999999999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IFERROR(__xludf.DUMMYFUNCTION("IMPORTRANGE(""https://docs.google.com/spreadsheets/d/1C3CXT74ZlgGe6_JY_1olB1XN4rF0dxEuIIF-xsYjHgg/edit?usp=sharing"",""พรบ!CC83"")"),163)</f>
        <v>163</v>
      </c>
      <c r="J240" s="73">
        <f ca="1">IFERROR(__xludf.DUMMYFUNCTION("IMPORTRANGE(""https://docs.google.com/spreadsheets/d/1AGHcLOeeYFL3K4b9R1dSzyJy00PE_ra89DNTVfnxSWM/edit?usp=sharing"",""รวมที่ทำกิน!W72"")"),17)</f>
        <v>17</v>
      </c>
      <c r="K240" s="215">
        <f t="shared" ca="1" si="52"/>
        <v>10.429447852760736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IFERROR(__xludf.DUMMYFUNCTION("IMPORTRANGE(""https://docs.google.com/spreadsheets/d/1AGHcLOeeYFL3K4b9R1dSzyJy00PE_ra89DNTVfnxSWM/edit?usp=sharing"",""รวมที่ทำกิน!Y72"")"),129.72)</f>
        <v>129.72</v>
      </c>
      <c r="K241" s="215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1187098</v>
      </c>
      <c r="M242" s="230">
        <f t="shared" si="53"/>
        <v>52078.479999999996</v>
      </c>
      <c r="N242" s="230">
        <f ca="1">+IF(L242&gt;0,M242*100/L242,0)</f>
        <v>4.3870413394681824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70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274060</v>
      </c>
      <c r="M244" s="246">
        <f t="shared" si="56"/>
        <v>9899</v>
      </c>
      <c r="N244" s="246">
        <f ca="1">+IF(L244&gt;0,M244*100/L244,0)</f>
        <v>3.6119827774939792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25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274060</v>
      </c>
      <c r="M247" s="55">
        <f t="shared" si="59"/>
        <v>9899</v>
      </c>
      <c r="N247" s="55">
        <f t="shared" ca="1" si="58"/>
        <v>3.6119827774939792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IFERROR(__xludf.DUMMYFUNCTION("IMPORTRANGE(""https://docs.google.com/spreadsheets/d/1C3CXT74ZlgGe6_JY_1olB1XN4rF0dxEuIIF-xsYjHgg/edit?usp=sharing"",""งบกองทุน!d83"")"),0)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IFERROR(__xludf.DUMMYFUNCTION("IMPORTRANGE(""https://docs.google.com/spreadsheets/d/1C3CXT74ZlgGe6_JY_1olB1XN4rF0dxEuIIF-xsYjHgg/edit?usp=sharing"",""งบกองทุน!e83"")"),274060)</f>
        <v>274060</v>
      </c>
      <c r="M249" s="58">
        <f>SUM(M250:M253)</f>
        <v>9899</v>
      </c>
      <c r="N249" s="58">
        <f t="shared" ca="1" si="58"/>
        <v>3.6119827774939792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9899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IFERROR(__xludf.DUMMYFUNCTION("IMPORTRANGE(""https://docs.google.com/spreadsheets/d/1C3CXT74ZlgGe6_JY_1olB1XN4rF0dxEuIIF-xsYjHgg/edit?usp=sharing"",""งบกองทุน!f83"")"),0)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70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IFERROR(__xludf.DUMMYFUNCTION("IMPORTRANGE(""https://docs.google.com/spreadsheets/d/1C3CXT74ZlgGe6_JY_1olB1XN4rF0dxEuIIF-xsYjHgg/edit?usp=sharing"",""งบกองทุน!H83"")"),25)</f>
        <v>25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IFERROR(__xludf.DUMMYFUNCTION("IMPORTRANGE(""https://docs.google.com/spreadsheets/d/1C3CXT74ZlgGe6_JY_1olB1XN4rF0dxEuIIF-xsYjHgg/edit?usp=sharing"",""งบกองทุน!i83"")"),70)</f>
        <v>70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25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IFERROR(__xludf.DUMMYFUNCTION("IMPORTRANGE(""https://docs.google.com/spreadsheets/d/1C3CXT74ZlgGe6_JY_1olB1XN4rF0dxEuIIF-xsYjHgg/edit?usp=sharing"",""งบกองทุน!k83"")"),0)</f>
        <v>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25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IFERROR(__xludf.DUMMYFUNCTION("IMPORTRANGE(""https://docs.google.com/spreadsheets/d/1C3CXT74ZlgGe6_JY_1olB1XN4rF0dxEuIIF-xsYjHgg/edit?usp=sharing"",""งบกองทุน!m83"")"),0)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70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IFERROR(__xludf.DUMMYFUNCTION("IMPORTRANGE(""https://docs.google.com/spreadsheets/d/1C3CXT74ZlgGe6_JY_1olB1XN4rF0dxEuIIF-xsYjHgg/edit?usp=sharing"",""งบกองทุน!o83"")"),0)</f>
        <v>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IFERROR(__xludf.DUMMYFUNCTION("IMPORTRANGE(""https://docs.google.com/spreadsheets/d/1C3CXT74ZlgGe6_JY_1olB1XN4rF0dxEuIIF-xsYjHgg/edit?usp=sharing"",""งบกองทุน!p83"")"),70)</f>
        <v>70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300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293900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30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293900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IFERROR(__xludf.DUMMYFUNCTION("IMPORTRANGE(""https://docs.google.com/spreadsheets/d/1C3CXT74ZlgGe6_JY_1olB1XN4rF0dxEuIIF-xsYjHgg/edit?usp=sharing"",""งบกองทุน!r83"")"),0)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IFERROR(__xludf.DUMMYFUNCTION("IMPORTRANGE(""https://docs.google.com/spreadsheets/d/1C3CXT74ZlgGe6_JY_1olB1XN4rF0dxEuIIF-xsYjHgg/edit?usp=sharing"",""งบกองทุน!s83"")"),293900)</f>
        <v>293900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IFERROR(__xludf.DUMMYFUNCTION("IMPORTRANGE(""https://docs.google.com/spreadsheets/d/1C3CXT74ZlgGe6_JY_1olB1XN4rF0dxEuIIF-xsYjHgg/edit?usp=sharing"",""งบกองทุน!v83"")"),30)</f>
        <v>30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IFERROR(__xludf.DUMMYFUNCTION("IMPORTRANGE(""https://docs.google.com/spreadsheets/d/1C3CXT74ZlgGe6_JY_1olB1XN4rF0dxEuIIF-xsYjHgg/edit?usp=sharing"",""งบกองทุน!w83"")"),300)</f>
        <v>300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IFERROR(__xludf.DUMMYFUNCTION("IMPORTRANGE(""https://docs.google.com/spreadsheets/d/1C3CXT74ZlgGe6_JY_1olB1XN4rF0dxEuIIF-xsYjHgg/edit?usp=sharing"",""งบกองทุน!x83"")"),30)</f>
        <v>30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105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131810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131810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IFERROR(__xludf.DUMMYFUNCTION("IMPORTRANGE(""https://docs.google.com/spreadsheets/d/1C3CXT74ZlgGe6_JY_1olB1XN4rF0dxEuIIF-xsYjHgg/edit?usp=sharing"",""งบกองทุน!z83"")"),0)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IFERROR(__xludf.DUMMYFUNCTION("IMPORTRANGE(""https://docs.google.com/spreadsheets/d/1C3CXT74ZlgGe6_JY_1olB1XN4rF0dxEuIIF-xsYjHgg/edit?usp=sharing"",""งบกองทุน!aa83"")"),131810)</f>
        <v>131810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0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35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IFERROR(__xludf.DUMMYFUNCTION("IMPORTRANGE(""https://docs.google.com/spreadsheets/d/1C3CXT74ZlgGe6_JY_1olB1XN4rF0dxEuIIF-xsYjHgg/edit?usp=sharing"",""งบกองทุน!ae83"")"),10)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IFERROR(__xludf.DUMMYFUNCTION("IMPORTRANGE(""https://docs.google.com/spreadsheets/d/1C3CXT74ZlgGe6_JY_1olB1XN4rF0dxEuIIF-xsYjHgg/edit?usp=sharing"",""งบกองทุน!ad83"")"),30)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IFERROR(__xludf.DUMMYFUNCTION("IMPORTRANGE(""https://docs.google.com/spreadsheets/d/1C3CXT74ZlgGe6_JY_1olB1XN4rF0dxEuIIF-xsYjHgg/edit?usp=sharing"",""งบกองทุน!af83"")"),10)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IFERROR(__xludf.DUMMYFUNCTION("IMPORTRANGE(""https://docs.google.com/spreadsheets/d/1C3CXT74ZlgGe6_JY_1olB1XN4rF0dxEuIIF-xsYjHgg/edit?usp=sharing"",""งบกองทุน!ag83"")"),10)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IFERROR(__xludf.DUMMYFUNCTION("IMPORTRANGE(""https://docs.google.com/spreadsheets/d/1C3CXT74ZlgGe6_JY_1olB1XN4rF0dxEuIIF-xsYjHgg/edit?usp=sharing"",""งบกองทุน!ai83"")"),15)</f>
        <v>15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IFERROR(__xludf.DUMMYFUNCTION("IMPORTRANGE(""https://docs.google.com/spreadsheets/d/1C3CXT74ZlgGe6_JY_1olB1XN4rF0dxEuIIF-xsYjHgg/edit?usp=sharing"",""งบกองทุน!ah83"")"),45)</f>
        <v>45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IFERROR(__xludf.DUMMYFUNCTION("IMPORTRANGE(""https://docs.google.com/spreadsheets/d/1C3CXT74ZlgGe6_JY_1olB1XN4rF0dxEuIIF-xsYjHgg/edit?usp=sharing"",""งบกองทุน!aj83"")"),15)</f>
        <v>15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IFERROR(__xludf.DUMMYFUNCTION("IMPORTRANGE(""https://docs.google.com/spreadsheets/d/1C3CXT74ZlgGe6_JY_1olB1XN4rF0dxEuIIF-xsYjHgg/edit?usp=sharing"",""งบกองทุน!ak83"")"),15)</f>
        <v>15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IFERROR(__xludf.DUMMYFUNCTION("IMPORTRANGE(""https://docs.google.com/spreadsheets/d/1C3CXT74ZlgGe6_JY_1olB1XN4rF0dxEuIIF-xsYjHgg/edit?usp=sharing"",""งบกองทุน!al83"")"),15)</f>
        <v>15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IFERROR(__xludf.DUMMYFUNCTION("IMPORTRANGE(""https://docs.google.com/spreadsheets/d/1C3CXT74ZlgGe6_JY_1olB1XN4rF0dxEuIIF-xsYjHgg/edit?usp=sharing"",""งบกองทุน!an83"")"),10)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IFERROR(__xludf.DUMMYFUNCTION("IMPORTRANGE(""https://docs.google.com/spreadsheets/d/1C3CXT74ZlgGe6_JY_1olB1XN4rF0dxEuIIF-xsYjHgg/edit?usp=sharing"",""งบกองทุน!am83"")"),30)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IFERROR(__xludf.DUMMYFUNCTION("IMPORTRANGE(""https://docs.google.com/spreadsheets/d/1C3CXT74ZlgGe6_JY_1olB1XN4rF0dxEuIIF-xsYjHgg/edit?usp=sharing"",""งบกองทุน!ao83"")"),10)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IFERROR(__xludf.DUMMYFUNCTION("IMPORTRANGE(""https://docs.google.com/spreadsheets/d/1C3CXT74ZlgGe6_JY_1olB1XN4rF0dxEuIIF-xsYjHgg/edit?usp=sharing"",""งบกองทุน!ap83"")"),10)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25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IFERROR(__xludf.DUMMYFUNCTION("IMPORTRANGE(""https://docs.google.com/spreadsheets/d/1C3CXT74ZlgGe6_JY_1olB1XN4rF0dxEuIIF-xsYjHgg/edit?usp=sharing"",""งบกองทุน!ar83"")"),10)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IFERROR(__xludf.DUMMYFUNCTION("IMPORTRANGE(""https://docs.google.com/spreadsheets/d/1C3CXT74ZlgGe6_JY_1olB1XN4rF0dxEuIIF-xsYjHgg/edit?usp=sharing"",""งบกองทุน!as83"")"),15)</f>
        <v>15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15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83000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83000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IFERROR(__xludf.DUMMYFUNCTION("IMPORTRANGE(""https://docs.google.com/spreadsheets/d/1C3CXT74ZlgGe6_JY_1olB1XN4rF0dxEuIIF-xsYjHgg/edit?usp=sharing"",""งบกองทุน!au83"")"),0)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IFERROR(__xludf.DUMMYFUNCTION("IMPORTRANGE(""https://docs.google.com/spreadsheets/d/1C3CXT74ZlgGe6_JY_1olB1XN4rF0dxEuIIF-xsYjHgg/edit?usp=sharing"",""งบกองทุน!av83"")"),83000)</f>
        <v>83000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15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IFERROR(__xludf.DUMMYFUNCTION("IMPORTRANGE(""https://docs.google.com/spreadsheets/d/1C3CXT74ZlgGe6_JY_1olB1XN4rF0dxEuIIF-xsYjHgg/edit?usp=sharing"",""งบกองทุน!ay83"")"),15)</f>
        <v>15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IFERROR(__xludf.DUMMYFUNCTION("IMPORTRANGE(""https://docs.google.com/spreadsheets/d/1C3CXT74ZlgGe6_JY_1olB1XN4rF0dxEuIIF-xsYjHgg/edit?usp=sharing"",""งบกองทุน!az83"")"),0)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IFERROR(__xludf.DUMMYFUNCTION("IMPORTRANGE(""https://docs.google.com/spreadsheets/d/1C3CXT74ZlgGe6_JY_1olB1XN4rF0dxEuIIF-xsYjHgg/edit?usp=sharing"",""งบกองทุน!Ba83"")"),0)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38071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235518</v>
      </c>
      <c r="M350" s="246">
        <f t="shared" si="81"/>
        <v>480</v>
      </c>
      <c r="N350" s="246">
        <f t="shared" ref="N350:N354" ca="1" si="82">+IF(L350&gt;0,M350*100/L350,0)</f>
        <v>0.20380607851629176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235518</v>
      </c>
      <c r="M352" s="58">
        <f t="shared" si="83"/>
        <v>480</v>
      </c>
      <c r="N352" s="58">
        <f t="shared" ca="1" si="82"/>
        <v>0.20380607851629176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IFERROR(__xludf.DUMMYFUNCTION("IMPORTRANGE(""https://docs.google.com/spreadsheets/d/1C3CXT74ZlgGe6_JY_1olB1XN4rF0dxEuIIF-xsYjHgg/edit?usp=sharing"",""งบกองทุน!Bc83"")"),0)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IFERROR(__xludf.DUMMYFUNCTION("IMPORTRANGE(""https://docs.google.com/spreadsheets/d/1C3CXT74ZlgGe6_JY_1olB1XN4rF0dxEuIIF-xsYjHgg/edit?usp=sharing"",""งบกองทุน!Bd83"")"),235518)</f>
        <v>235518</v>
      </c>
      <c r="M354" s="58">
        <f>SUM(M355:M358)</f>
        <v>480</v>
      </c>
      <c r="N354" s="58">
        <f t="shared" ca="1" si="82"/>
        <v>0.20380607851629176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480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IFERROR(__xludf.DUMMYFUNCTION("IMPORTRANGE(""https://docs.google.com/spreadsheets/d/1C3CXT74ZlgGe6_JY_1olB1XN4rF0dxEuIIF-xsYjHgg/edit?usp=sharing"",""งบกองทุน!BE83"")"),38071)</f>
        <v>38071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38071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IFERROR(__xludf.DUMMYFUNCTION("IMPORTRANGE(""https://docs.google.com/spreadsheets/d/1C3CXT74ZlgGe6_JY_1olB1XN4rF0dxEuIIF-xsYjHgg/edit?usp=sharing"",""งบกองทุน!BF83"")"),3513)</f>
        <v>3513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38071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3513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38071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3513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IFERROR(__xludf.DUMMYFUNCTION("IMPORTRANGE(""https://docs.google.com/spreadsheets/d/1C3CXT74ZlgGe6_JY_1olB1XN4rF0dxEuIIF-xsYjHgg/edit?usp=sharing"",""งบกองทุน!cd83"")"),0)</f>
        <v>0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IFERROR(__xludf.DUMMYFUNCTION("IMPORTRANGE(""https://docs.google.com/spreadsheets/d/1C3CXT74ZlgGe6_JY_1olB1XN4rF0dxEuIIF-xsYjHgg/edit?usp=sharing"",""งบกองทุน!cd83"")"),0)</f>
        <v>0</v>
      </c>
      <c r="J391" s="84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IFERROR(__xludf.DUMMYFUNCTION("IMPORTRANGE(""https://docs.google.com/spreadsheets/d/1C3CXT74ZlgGe6_JY_1olB1XN4rF0dxEuIIF-xsYjHgg/edit?usp=sharing"",""งบกองทุน!cc83"")"),0)</f>
        <v>0</v>
      </c>
      <c r="J392" s="84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7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7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7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7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IFERROR(__xludf.DUMMYFUNCTION("IMPORTRANGE(""https://docs.google.com/spreadsheets/d/1C3CXT74ZlgGe6_JY_1olB1XN4rF0dxEuIIF-xsYjHgg/edit?usp=sharing"",""งบกองทุน!cz83"")"),0)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IFERROR(__xludf.DUMMYFUNCTION("IMPORTRANGE(""https://docs.google.com/spreadsheets/d/1C3CXT74ZlgGe6_JY_1olB1XN4rF0dxEuIIF-xsYjHgg/edit?usp=sharing"",""งบกองทุน!cz83"")"),0)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IFERROR(__xludf.DUMMYFUNCTION("IMPORTRANGE(""https://docs.google.com/spreadsheets/d/1C3CXT74ZlgGe6_JY_1olB1XN4rF0dxEuIIF-xsYjHgg/edit?usp=sharing"",""งบกองทุน!cy83"")"),0)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IFERROR(__xludf.DUMMYFUNCTION("IMPORTRANGE(""https://docs.google.com/spreadsheets/d/1C3CXT74ZlgGe6_JY_1olB1XN4rF0dxEuIIF-xsYjHgg/edit?usp=sharing"",""งบกองทุน!db83"")"),0)</f>
        <v>0</v>
      </c>
      <c r="K412" s="420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IFERROR(__xludf.DUMMYFUNCTION("IMPORTRANGE(""https://docs.google.com/spreadsheets/d/1C3CXT74ZlgGe6_JY_1olB1XN4rF0dxEuIIF-xsYjHgg/edit?usp=sharing"",""งบกองทุน!da83"")"),0)</f>
        <v>0</v>
      </c>
      <c r="K413" s="420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IFERROR(__xludf.DUMMYFUNCTION("IMPORTRANGE(""https://docs.google.com/spreadsheets/d/1C3CXT74ZlgGe6_JY_1olB1XN4rF0dxEuIIF-xsYjHgg/edit?usp=sharing"",""งบกองทุน!dd83"")"),0)</f>
        <v>0</v>
      </c>
      <c r="K414" s="420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IFERROR(__xludf.DUMMYFUNCTION("IMPORTRANGE(""https://docs.google.com/spreadsheets/d/1C3CXT74ZlgGe6_JY_1olB1XN4rF0dxEuIIF-xsYjHgg/edit?usp=sharing"",""งบกองทุน!dc83"")"),0)</f>
        <v>0</v>
      </c>
      <c r="K415" s="420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IFERROR(__xludf.DUMMYFUNCTION("IMPORTRANGE(""https://docs.google.com/spreadsheets/d/1C3CXT74ZlgGe6_JY_1olB1XN4rF0dxEuIIF-xsYjHgg/edit?usp=sharing"",""งบกองทุน!df83"")"),0)</f>
        <v>0</v>
      </c>
      <c r="K416" s="420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IFERROR(__xludf.DUMMYFUNCTION("IMPORTRANGE(""https://docs.google.com/spreadsheets/d/1C3CXT74ZlgGe6_JY_1olB1XN4rF0dxEuIIF-xsYjHgg/edit?usp=sharing"",""งบกองทุน!de83"")"),0)</f>
        <v>0</v>
      </c>
      <c r="K417" s="420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2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2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2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2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2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8">
        <v>0</v>
      </c>
      <c r="J425" s="414">
        <v>0</v>
      </c>
      <c r="K425" s="422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275">
        <f t="shared" ref="I426:J426" ca="1" si="95">I440</f>
        <v>22</v>
      </c>
      <c r="J426" s="275">
        <f t="shared" si="95"/>
        <v>22</v>
      </c>
      <c r="K426" s="343">
        <f ca="1">IF(I426&gt;0,J426*100/I426,0)</f>
        <v>100</v>
      </c>
      <c r="L426" s="277">
        <f t="shared" ref="L426:M426" ca="1" si="96">SUM(L427:L428)</f>
        <v>34340</v>
      </c>
      <c r="M426" s="277">
        <f t="shared" si="96"/>
        <v>21544.48</v>
      </c>
      <c r="N426" s="277">
        <f t="shared" ref="N426:N430" ca="1" si="97">+IF(L426&gt;0,M426*100/L426,0)</f>
        <v>62.738730343622599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34340</v>
      </c>
      <c r="M428" s="58">
        <f t="shared" si="98"/>
        <v>21544.48</v>
      </c>
      <c r="N428" s="58">
        <f t="shared" ca="1" si="97"/>
        <v>62.738730343622599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IFERROR(__xludf.DUMMYFUNCTION("IMPORTRANGE(""https://docs.google.com/spreadsheets/d/1C3CXT74ZlgGe6_JY_1olB1XN4rF0dxEuIIF-xsYjHgg/edit?usp=sharing"",""งบกองทุน!dn83"")"),0)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IFERROR(__xludf.DUMMYFUNCTION("IMPORTRANGE(""https://docs.google.com/spreadsheets/d/1C3CXT74ZlgGe6_JY_1olB1XN4rF0dxEuIIF-xsYjHgg/edit?usp=sharing"",""งบกองทุน!do83"")"),34340)</f>
        <v>34340</v>
      </c>
      <c r="M430" s="58">
        <f>SUM(M431:M434)</f>
        <v>21544.48</v>
      </c>
      <c r="N430" s="58">
        <f t="shared" ca="1" si="97"/>
        <v>62.738730343622599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21064.48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480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IFERROR(__xludf.DUMMYFUNCTION("IMPORTRANGE(""https://docs.google.com/spreadsheets/d/1C3CXT74ZlgGe6_JY_1olB1XN4rF0dxEuIIF-xsYjHgg/edit?usp=sharing"",""งบกองทุน!dq83"")"),22)</f>
        <v>22</v>
      </c>
      <c r="J440" s="74">
        <v>22</v>
      </c>
      <c r="K440" s="54">
        <f t="shared" ref="K440:K441" ca="1" si="99">IF(I440&gt;0,J440*100/I440,0)</f>
        <v>100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IFERROR(__xludf.DUMMYFUNCTION("IMPORTRANGE(""https://docs.google.com/spreadsheets/d/1C3CXT74ZlgGe6_JY_1olB1XN4rF0dxEuIIF-xsYjHgg/edit?usp=sharing"",""งบกองทุน!dr83"")"),22)</f>
        <v>22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IFERROR(__xludf.DUMMYFUNCTION("IMPORTRANGE(""https://docs.google.com/spreadsheets/d/1C3CXT74ZlgGe6_JY_1olB1XN4rF0dxEuIIF-xsYjHgg/edit?usp=sharing"",""งบกองทุน!dt83"")"),0)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IFERROR(__xludf.DUMMYFUNCTION("IMPORTRANGE(""https://docs.google.com/spreadsheets/d/1C3CXT74ZlgGe6_JY_1olB1XN4rF0dxEuIIF-xsYjHgg/edit?usp=sharing"",""งบกองทุน!du83"")"),0)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IFERROR(__xludf.DUMMYFUNCTION("IMPORTRANGE(""https://docs.google.com/spreadsheets/d/1C3CXT74ZlgGe6_JY_1olB1XN4rF0dxEuIIF-xsYjHgg/edit?usp=sharing"",""งบกองทุน!dw83"")"),0)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IFERROR(__xludf.DUMMYFUNCTION("IMPORTRANGE(""https://docs.google.com/spreadsheets/d/1C3CXT74ZlgGe6_JY_1olB1XN4rF0dxEuIIF-xsYjHgg/edit?usp=sharing"",""งบกองทุน!dx83"")"),0)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IFERROR(__xludf.DUMMYFUNCTION("IMPORTRANGE(""https://docs.google.com/spreadsheets/d/1C3CXT74ZlgGe6_JY_1olB1XN4rF0dxEuIIF-xsYjHgg/edit?usp=sharing"",""งบกองทุน!dy83"")"),0)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IFERROR(__xludf.DUMMYFUNCTION("IMPORTRANGE(""https://docs.google.com/spreadsheets/d/1C3CXT74ZlgGe6_JY_1olB1XN4rF0dxEuIIF-xsYjHgg/edit?usp=sharing"",""งบกองทุน!dz83"")"),0)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1000</v>
      </c>
      <c r="J457" s="244">
        <f>+J466</f>
        <v>305</v>
      </c>
      <c r="K457" s="245">
        <f t="shared" ca="1" si="104"/>
        <v>30.5</v>
      </c>
      <c r="L457" s="246">
        <f t="shared" ref="L457:M457" ca="1" si="105">SUM(L458:L459)</f>
        <v>122720</v>
      </c>
      <c r="M457" s="246">
        <f t="shared" si="105"/>
        <v>20155</v>
      </c>
      <c r="N457" s="246">
        <f t="shared" ref="N457:N461" ca="1" si="106">+IF(L457&gt;0,M457*100/L457,0)</f>
        <v>16.423565840938721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122720</v>
      </c>
      <c r="M459" s="58">
        <f t="shared" si="107"/>
        <v>20155</v>
      </c>
      <c r="N459" s="58">
        <f t="shared" ca="1" si="106"/>
        <v>16.423565840938721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IFERROR(__xludf.DUMMYFUNCTION("IMPORTRANGE(""https://docs.google.com/spreadsheets/d/1C3CXT74ZlgGe6_JY_1olB1XN4rF0dxEuIIF-xsYjHgg/edit?usp=sharing"",""งบกองทุน!Eb83"")"),0)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IFERROR(__xludf.DUMMYFUNCTION("IMPORTRANGE(""https://docs.google.com/spreadsheets/d/1C3CXT74ZlgGe6_JY_1olB1XN4rF0dxEuIIF-xsYjHgg/edit?usp=sharing"",""งบกองทุน!Ec83"")"),122720)</f>
        <v>122720</v>
      </c>
      <c r="M461" s="58">
        <f>SUM(M462:M465)</f>
        <v>20155</v>
      </c>
      <c r="N461" s="58">
        <f t="shared" ca="1" si="106"/>
        <v>16.423565840938721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20155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IFERROR(__xludf.DUMMYFUNCTION("IMPORTRANGE(""https://docs.google.com/spreadsheets/d/1C3CXT74ZlgGe6_JY_1olB1XN4rF0dxEuIIF-xsYjHgg/edit?usp=sharing"",""งบกองทุน!Ed83"")"),1000)</f>
        <v>1000</v>
      </c>
      <c r="J466" s="283">
        <f>+J469+J470+J471+J472</f>
        <v>305</v>
      </c>
      <c r="K466" s="85">
        <f ca="1">IF(I466&gt;0,J466*100/I466,0)</f>
        <v>30.5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305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IFERROR(__xludf.DUMMYFUNCTION("IMPORTRANGE(""https://docs.google.com/spreadsheets/d/1C3CXT74ZlgGe6_JY_1olB1XN4rF0dxEuIIF-xsYjHgg/edit?usp=sharing"",""งบกองทุน!Ek83"")"),0)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IFERROR(__xludf.DUMMYFUNCTION("IMPORTRANGE(""https://docs.google.com/spreadsheets/d/1C3CXT74ZlgGe6_JY_1olB1XN4rF0dxEuIIF-xsYjHgg/edit?usp=sharing"",""งบกองทุน!El83"")"),0)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IFERROR(__xludf.DUMMYFUNCTION("IMPORTRANGE(""https://docs.google.com/spreadsheets/d/1C3CXT74ZlgGe6_JY_1olB1XN4rF0dxEuIIF-xsYjHgg/edit?usp=sharing"",""งบกองทุน!Em83"")"),0)</f>
        <v>0</v>
      </c>
      <c r="J482" s="73">
        <f ca="1">IFERROR(__xludf.DUMMYFUNCTION("IMPORTRANGE(""https://docs.google.com/spreadsheets/d/1AGHcLOeeYFL3K4b9R1dSzyJy00PE_ra89DNTVfnxSWM/edit?usp=sharing"",""รวมที่ชุมชน!G72"")"),0)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IFERROR(__xludf.DUMMYFUNCTION("IMPORTRANGE(""https://docs.google.com/spreadsheets/d/1AGHcLOeeYFL3K4b9R1dSzyJy00PE_ra89DNTVfnxSWM/edit?usp=sharing"",""รวมที่ชุมชน!H72"")"),0)</f>
        <v>0</v>
      </c>
      <c r="K483" s="250">
        <f t="shared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IFERROR(__xludf.DUMMYFUNCTION("IMPORTRANGE(""https://docs.google.com/spreadsheets/d/1C3CXT74ZlgGe6_JY_1olB1XN4rF0dxEuIIF-xsYjHgg/edit?usp=sharing"",""งบกองทุน!Eo83"")"),0)</f>
        <v>0</v>
      </c>
      <c r="J484" s="73">
        <f ca="1">IFERROR(__xludf.DUMMYFUNCTION("IMPORTRANGE(""https://docs.google.com/spreadsheets/d/1AGHcLOeeYFL3K4b9R1dSzyJy00PE_ra89DNTVfnxSWM/edit?usp=sharing"",""รวมที่ชุมชน!J72"")"),0)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IFERROR(__xludf.DUMMYFUNCTION("IMPORTRANGE(""https://docs.google.com/spreadsheets/d/1AGHcLOeeYFL3K4b9R1dSzyJy00PE_ra89DNTVfnxSWM/edit?usp=sharing"",""รวมที่ชุมชน!L72"")"),0)</f>
        <v>0</v>
      </c>
      <c r="K485" s="250">
        <f t="shared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IFERROR(__xludf.DUMMYFUNCTION("IMPORTRANGE(""https://docs.google.com/spreadsheets/d/1C3CXT74ZlgGe6_JY_1olB1XN4rF0dxEuIIF-xsYjHgg/edit?usp=sharing"",""งบกองทุน!Eq83"")"),0)</f>
        <v>0</v>
      </c>
      <c r="J486" s="73">
        <f ca="1">IFERROR(__xludf.DUMMYFUNCTION("IMPORTRANGE(""https://docs.google.com/spreadsheets/d/1AGHcLOeeYFL3K4b9R1dSzyJy00PE_ra89DNTVfnxSWM/edit?usp=sharing"",""รวมที่ชุมชน!S72"")"),0)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IFERROR(__xludf.DUMMYFUNCTION("IMPORTRANGE(""https://docs.google.com/spreadsheets/d/1AGHcLOeeYFL3K4b9R1dSzyJy00PE_ra89DNTVfnxSWM/edit?usp=sharing"",""รวมที่ชุมชน!U72"")"),0)</f>
        <v>0</v>
      </c>
      <c r="K487" s="250">
        <f t="shared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IFERROR(__xludf.DUMMYFUNCTION("IMPORTRANGE(""https://docs.google.com/spreadsheets/d/1C3CXT74ZlgGe6_JY_1olB1XN4rF0dxEuIIF-xsYjHgg/edit?usp=sharing"",""งบกองทุน!Es83"")"),0)</f>
        <v>0</v>
      </c>
      <c r="J488" s="73">
        <f ca="1">IFERROR(__xludf.DUMMYFUNCTION("IMPORTRANGE(""https://docs.google.com/spreadsheets/d/1AGHcLOeeYFL3K4b9R1dSzyJy00PE_ra89DNTVfnxSWM/edit?usp=sharing"",""รวมที่ชุมชน!V72"")"),0)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IFERROR(__xludf.DUMMYFUNCTION("IMPORTRANGE(""https://docs.google.com/spreadsheets/d/1AGHcLOeeYFL3K4b9R1dSzyJy00PE_ra89DNTVfnxSWM/edit?usp=sharing"",""รวมที่ชุมชน!X72"")"),0)</f>
        <v>0</v>
      </c>
      <c r="K489" s="423">
        <f t="shared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424">
        <f ca="1">IF(I490&gt;0,J490*100/I490,0)</f>
        <v>0</v>
      </c>
      <c r="L490" s="277">
        <f ca="1">SUM(L491,L492)</f>
        <v>11750</v>
      </c>
      <c r="M490" s="277">
        <f>SUM(M491:M492)</f>
        <v>0</v>
      </c>
      <c r="N490" s="277">
        <f t="shared" ref="N490:N494" ca="1" si="113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11750</v>
      </c>
      <c r="M492" s="58">
        <f t="shared" si="114"/>
        <v>0</v>
      </c>
      <c r="N492" s="58">
        <f t="shared" ca="1" si="113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IFERROR(__xludf.DUMMYFUNCTION("IMPORTRANGE(""https://docs.google.com/spreadsheets/d/1C3CXT74ZlgGe6_JY_1olB1XN4rF0dxEuIIF-xsYjHgg/edit?usp=sharing"",""งบกองทุน!Ev83"")"),0)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IFERROR(__xludf.DUMMYFUNCTION("IMPORTRANGE(""https://docs.google.com/spreadsheets/d/1C3CXT74ZlgGe6_JY_1olB1XN4rF0dxEuIIF-xsYjHgg/edit?usp=sharing"",""งบกองทุน!Ew83"")"),11750)</f>
        <v>11750</v>
      </c>
      <c r="M494" s="58">
        <f>SUM(M495:M498)</f>
        <v>0</v>
      </c>
      <c r="N494" s="58">
        <f t="shared" ca="1" si="113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0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IFERROR(__xludf.DUMMYFUNCTION("IMPORTRANGE(""https://docs.google.com/spreadsheets/d/1C3CXT74ZlgGe6_JY_1olB1XN4rF0dxEuIIF-xsYjHgg/edit?usp=sharing"",""งบกองทุน!EZ83"")"),50)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IFERROR(__xludf.DUMMYFUNCTION("IMPORTRANGE(""https://docs.google.com/spreadsheets/d/1C3CXT74ZlgGe6_JY_1olB1XN4rF0dxEuIIF-xsYjHgg/edit?usp=sharing"",""งบกองทุน!ff83"")"),0)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IFERROR(__xludf.DUMMYFUNCTION("IMPORTRANGE(""https://docs.google.com/spreadsheets/d/1muirlRDkqiswvy_NRZ3Yh955hx-PF6_HhssUYiSJj8o/edit?usp=sharing"",""กองทุน!D83"")"),1672600.24)</f>
        <v>1672600.24</v>
      </c>
      <c r="J521" s="214">
        <f ca="1">IFERROR(__xludf.DUMMYFUNCTION("IMPORTRANGE(""https://docs.google.com/spreadsheets/d/1muirlRDkqiswvy_NRZ3Yh955hx-PF6_HhssUYiSJj8o/edit?usp=sharing"",""กองทุน!F83"")"),0)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IFERROR(__xludf.DUMMYFUNCTION("IMPORTRANGE(""https://docs.google.com/spreadsheets/d/1muirlRDkqiswvy_NRZ3Yh955hx-PF6_HhssUYiSJj8o/edit?usp=sharing"",""กองทุน!C83"")"),102)</f>
        <v>102</v>
      </c>
      <c r="J522" s="214">
        <f ca="1">IFERROR(__xludf.DUMMYFUNCTION("IMPORTRANGE(""https://docs.google.com/spreadsheets/d/1muirlRDkqiswvy_NRZ3Yh955hx-PF6_HhssUYiSJj8o/edit?usp=sharing"",""กองทุน!E83"")"),0)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IFERROR(__xludf.DUMMYFUNCTION("IMPORTRANGE(""https://docs.google.com/spreadsheets/d/1muirlRDkqiswvy_NRZ3Yh955hx-PF6_HhssUYiSJj8o/edit?usp=sharing"",""กองทุน!I83"")"),2461069.78)</f>
        <v>2461069.7799999998</v>
      </c>
      <c r="J523" s="214">
        <f ca="1">IFERROR(__xludf.DUMMYFUNCTION("IMPORTRANGE(""https://docs.google.com/spreadsheets/d/1muirlRDkqiswvy_NRZ3Yh955hx-PF6_HhssUYiSJj8o/edit?usp=sharing"",""กองทุน!K83"")"),86548.08)</f>
        <v>86548.08</v>
      </c>
      <c r="K523" s="215">
        <f t="shared" ca="1" si="118"/>
        <v>3.5166853334812802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IFERROR(__xludf.DUMMYFUNCTION("IMPORTRANGE(""https://docs.google.com/spreadsheets/d/1muirlRDkqiswvy_NRZ3Yh955hx-PF6_HhssUYiSJj8o/edit?usp=sharing"",""กองทุน!H83"")"),89)</f>
        <v>89</v>
      </c>
      <c r="J524" s="214">
        <f ca="1">IFERROR(__xludf.DUMMYFUNCTION("IMPORTRANGE(""https://docs.google.com/spreadsheets/d/1muirlRDkqiswvy_NRZ3Yh955hx-PF6_HhssUYiSJj8o/edit?usp=sharing"",""กองทุน!J83"")"),13)</f>
        <v>13</v>
      </c>
      <c r="K524" s="215">
        <f t="shared" ca="1" si="118"/>
        <v>14.606741573033707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IFERROR(__xludf.DUMMYFUNCTION("IMPORTRANGE(""https://docs.google.com/spreadsheets/d/1muirlRDkqiswvy_NRZ3Yh955hx-PF6_HhssUYiSJj8o/edit?usp=sharing"",""กองทุน!N83"")"),0)</f>
        <v>0</v>
      </c>
      <c r="J525" s="214">
        <f ca="1">IFERROR(__xludf.DUMMYFUNCTION("IMPORTRANGE(""https://docs.google.com/spreadsheets/d/1muirlRDkqiswvy_NRZ3Yh955hx-PF6_HhssUYiSJj8o/edit?usp=sharing"",""กองทุน!P83"")"),0)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IFERROR(__xludf.DUMMYFUNCTION("IMPORTRANGE(""https://docs.google.com/spreadsheets/d/1muirlRDkqiswvy_NRZ3Yh955hx-PF6_HhssUYiSJj8o/edit?usp=sharing"",""กองทุน!M83"")"),0)</f>
        <v>0</v>
      </c>
      <c r="J526" s="214">
        <f ca="1">IFERROR(__xludf.DUMMYFUNCTION("IMPORTRANGE(""https://docs.google.com/spreadsheets/d/1muirlRDkqiswvy_NRZ3Yh955hx-PF6_HhssUYiSJj8o/edit?usp=sharing"",""กองทุน!O83"")"),0)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IFERROR(__xludf.DUMMYFUNCTION("IMPORTRANGE(""https://docs.google.com/spreadsheets/d/1muirlRDkqiswvy_NRZ3Yh955hx-PF6_HhssUYiSJj8o/edit?usp=sharing"",""กองทุน!S83"")"),1200000)</f>
        <v>1200000</v>
      </c>
      <c r="J527" s="214">
        <f ca="1">IFERROR(__xludf.DUMMYFUNCTION("IMPORTRANGE(""https://docs.google.com/spreadsheets/d/1muirlRDkqiswvy_NRZ3Yh955hx-PF6_HhssUYiSJj8o/edit?usp=sharing"",""กองทุน!U83"")"),0)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IFERROR(__xludf.DUMMYFUNCTION("IMPORTRANGE(""https://docs.google.com/spreadsheets/d/1muirlRDkqiswvy_NRZ3Yh955hx-PF6_HhssUYiSJj8o/edit?usp=sharing"",""กองทุน!R83"")"),24)</f>
        <v>24</v>
      </c>
      <c r="J528" s="342">
        <f ca="1">IFERROR(__xludf.DUMMYFUNCTION("IMPORTRANGE(""https://docs.google.com/spreadsheets/d/1muirlRDkqiswvy_NRZ3Yh955hx-PF6_HhssUYiSJj8o/edit?usp=sharing"",""กองทุน!T83"")"),0)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conditionalFormatting sqref="K11">
    <cfRule type="notContainsBlanks" dxfId="0" priority="1">
      <formula>LEN(TRIM(K11))&gt;0</formula>
    </cfRule>
  </conditionalFormatting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I17" sqref="I17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223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1642065</v>
      </c>
      <c r="M6" s="18">
        <f t="shared" si="0"/>
        <v>2240</v>
      </c>
      <c r="N6" s="19">
        <f ca="1">IF(L6&gt;0,M6*100/L6,0)</f>
        <v>0.13641360116682349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IFERROR(__xludf.DUMMYFUNCTION("IMPORTRANGE(""https://docs.google.com/spreadsheets/d/1C3CXT74ZlgGe6_JY_1olB1XN4rF0dxEuIIF-xsYjHgg/edit?usp=sharing"",""พรบ!C84"")"),0)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IFERROR(__xludf.DUMMYFUNCTION("IMPORTRANGE(""https://docs.google.com/spreadsheets/d/1C3CXT74ZlgGe6_JY_1olB1XN4rF0dxEuIIF-xsYjHgg/edit?usp=sharing"",""พรบ!D84"")"),0)</f>
        <v>0</v>
      </c>
      <c r="M13" s="59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IFERROR(__xludf.DUMMYFUNCTION("IMPORTRANGE(""https://docs.google.com/spreadsheets/d/1C3CXT74ZlgGe6_JY_1olB1XN4rF0dxEuIIF-xsYjHgg/edit?usp=sharing"",""พรบ!E84"")"),0)</f>
        <v>0</v>
      </c>
      <c r="M14" s="59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4"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4">
        <v>0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4">
        <v>0</v>
      </c>
      <c r="K18" s="54"/>
      <c r="L18" s="66"/>
      <c r="M18" s="66"/>
      <c r="N18" s="66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4">
        <v>0</v>
      </c>
      <c r="K19" s="54"/>
      <c r="L19" s="66"/>
      <c r="M19" s="66"/>
      <c r="N19" s="66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IFERROR(__xludf.DUMMYFUNCTION("IMPORTRANGE(""https://docs.google.com/spreadsheets/d/1C3CXT74ZlgGe6_JY_1olB1XN4rF0dxEuIIF-xsYjHgg/edit?usp=sharing"",""พรบ!H84"")"),0)</f>
        <v>0</v>
      </c>
      <c r="J22" s="74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IFERROR(__xludf.DUMMYFUNCTION("IMPORTRANGE(""https://docs.google.com/spreadsheets/d/1C3CXT74ZlgGe6_JY_1olB1XN4rF0dxEuIIF-xsYjHgg/edit?usp=sharing"",""พรบ!I84"")"),0)</f>
        <v>0</v>
      </c>
      <c r="J23" s="74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IFERROR(__xludf.DUMMYFUNCTION("IMPORTRANGE(""https://docs.google.com/spreadsheets/d/1C3CXT74ZlgGe6_JY_1olB1XN4rF0dxEuIIF-xsYjHgg/edit?usp=sharing"",""พรบ!J84"")"),0)</f>
        <v>0</v>
      </c>
      <c r="J24" s="74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IFERROR(__xludf.DUMMYFUNCTION("IMPORTRANGE(""https://docs.google.com/spreadsheets/d/1C3CXT74ZlgGe6_JY_1olB1XN4rF0dxEuIIF-xsYjHgg/edit?usp=sharing"",""พรบ!K84"")"),0)</f>
        <v>0</v>
      </c>
      <c r="J25" s="74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IFERROR(__xludf.DUMMYFUNCTION("IMPORTRANGE(""https://docs.google.com/spreadsheets/d/1C3CXT74ZlgGe6_JY_1olB1XN4rF0dxEuIIF-xsYjHgg/edit?usp=sharing"",""พรบ!L84"")"),0)</f>
        <v>0</v>
      </c>
      <c r="J26" s="74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IFERROR(__xludf.DUMMYFUNCTION("IMPORTRANGE(""https://docs.google.com/spreadsheets/d/1C3CXT74ZlgGe6_JY_1olB1XN4rF0dxEuIIF-xsYjHgg/edit?usp=sharing"",""พรบ!M84"")"),0)</f>
        <v>0</v>
      </c>
      <c r="J27" s="74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IFERROR(__xludf.DUMMYFUNCTION("IMPORTRANGE(""https://docs.google.com/spreadsheets/d/1C3CXT74ZlgGe6_JY_1olB1XN4rF0dxEuIIF-xsYjHgg/edit?usp=sharing"",""พรบ!N84"")"),0)</f>
        <v>0</v>
      </c>
      <c r="J28" s="74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4"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90"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7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135000</v>
      </c>
      <c r="M32" s="103">
        <f>SUM(M34:M35)</f>
        <v>2240</v>
      </c>
      <c r="N32" s="44">
        <f ca="1">IF(L32&gt;0,M32*100/L32,0)</f>
        <v>1.6592592592592592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2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IFERROR(__xludf.DUMMYFUNCTION("IMPORTRANGE(""https://docs.google.com/spreadsheets/d/1C3CXT74ZlgGe6_JY_1olB1XN4rF0dxEuIIF-xsYjHgg/edit?usp=sharing"",""พรบ!O84"")"),135000)</f>
        <v>135000</v>
      </c>
      <c r="M35" s="55">
        <f>SUM(M36:M37)</f>
        <v>2240</v>
      </c>
      <c r="N35" s="55">
        <f t="shared" ca="1" si="10"/>
        <v>1.6592592592592592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IFERROR(__xludf.DUMMYFUNCTION("IMPORTRANGE(""https://docs.google.com/spreadsheets/d/1C3CXT74ZlgGe6_JY_1olB1XN4rF0dxEuIIF-xsYjHgg/edit?usp=sharing"",""พรบ!P84"")"),0)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IFERROR(__xludf.DUMMYFUNCTION("IMPORTRANGE(""https://docs.google.com/spreadsheets/d/1C3CXT74ZlgGe6_JY_1olB1XN4rF0dxEuIIF-xsYjHgg/edit?usp=sharing"",""พรบ!Q84"")"),135000)</f>
        <v>135000</v>
      </c>
      <c r="M37" s="59">
        <v>2240</v>
      </c>
      <c r="N37" s="58">
        <f t="shared" ca="1" si="10"/>
        <v>1.6592592592592592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4">
        <v>1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4">
        <v>1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IFERROR(__xludf.DUMMYFUNCTION("IMPORTRANGE(""https://docs.google.com/spreadsheets/d/1C3CXT74ZlgGe6_JY_1olB1XN4rF0dxEuIIF-xsYjHgg/edit?usp=sharing"",""พรบ!R84"")"),1)</f>
        <v>1</v>
      </c>
      <c r="J43" s="74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IFERROR(__xludf.DUMMYFUNCTION("IMPORTRANGE(""https://docs.google.com/spreadsheets/d/1C3CXT74ZlgGe6_JY_1olB1XN4rF0dxEuIIF-xsYjHgg/edit?usp=sharing"",""พรบ!S84"")"),7)</f>
        <v>7</v>
      </c>
      <c r="J44" s="74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IFERROR(__xludf.DUMMYFUNCTION("IMPORTRANGE(""https://docs.google.com/spreadsheets/d/1C3CXT74ZlgGe6_JY_1olB1XN4rF0dxEuIIF-xsYjHgg/edit?usp=sharing"",""พรบ!T84"")"),7)</f>
        <v>7</v>
      </c>
      <c r="J45" s="74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IFERROR(__xludf.DUMMYFUNCTION("IMPORTRANGE(""https://docs.google.com/spreadsheets/d/1C3CXT74ZlgGe6_JY_1olB1XN4rF0dxEuIIF-xsYjHgg/edit?usp=sharing"",""พรบ!U84"")"),7)</f>
        <v>7</v>
      </c>
      <c r="J46" s="74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IFERROR(__xludf.DUMMYFUNCTION("IMPORTRANGE(""https://docs.google.com/spreadsheets/d/1C3CXT74ZlgGe6_JY_1olB1XN4rF0dxEuIIF-xsYjHgg/edit?usp=sharing"",""พรบ!V84"")"),7)</f>
        <v>7</v>
      </c>
      <c r="J47" s="74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IFERROR(__xludf.DUMMYFUNCTION("IMPORTRANGE(""https://docs.google.com/spreadsheets/d/1C3CXT74ZlgGe6_JY_1olB1XN4rF0dxEuIIF-xsYjHgg/edit?usp=sharing"",""พรบ!W84"")"),2)</f>
        <v>2</v>
      </c>
      <c r="J48" s="74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4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IFERROR(__xludf.DUMMYFUNCTION("IMPORTRANGE(""https://docs.google.com/spreadsheets/d/1C3CXT74ZlgGe6_JY_1olB1XN4rF0dxEuIIF-xsYjHgg/edit?usp=sharing"",""พรบ!Y84"")"),0)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IFERROR(__xludf.DUMMYFUNCTION("IMPORTRANGE(""https://docs.google.com/spreadsheets/d/1C3CXT74ZlgGe6_JY_1olB1XN4rF0dxEuIIF-xsYjHgg/edit?usp=sharing"",""พรบ!Z84"")"),0)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IFERROR(__xludf.DUMMYFUNCTION("IMPORTRANGE(""https://docs.google.com/spreadsheets/d/1C3CXT74ZlgGe6_JY_1olB1XN4rF0dxEuIIF-xsYjHgg/edit?usp=sharing"",""พรบ!AA84"")"),0)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100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818600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818600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IFERROR(__xludf.DUMMYFUNCTION("IMPORTRANGE(""https://docs.google.com/spreadsheets/d/1C3CXT74ZlgGe6_JY_1olB1XN4rF0dxEuIIF-xsYjHgg/edit?usp=sharing"",""พรบ!AD84"")"),330100)</f>
        <v>330100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488500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IFERROR(__xludf.DUMMYFUNCTION("IMPORTRANGE(""https://docs.google.com/spreadsheets/d/1C3CXT74ZlgGe6_JY_1olB1XN4rF0dxEuIIF-xsYjHgg/edit?usp=sharing"",""พรบ!AF84"")"),7500)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0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IFERROR(__xludf.DUMMYFUNCTION("IMPORTRANGE(""https://docs.google.com/spreadsheets/d/1C3CXT74ZlgGe6_JY_1olB1XN4rF0dxEuIIF-xsYjHgg/edit?usp=sharing"",""พรบ!AG84"")"),4)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4</v>
      </c>
      <c r="J89" s="161">
        <f t="shared" si="21"/>
        <v>0</v>
      </c>
      <c r="K89" s="162">
        <f ca="1">IF(I89&gt;0,J89*100/I89,0)</f>
        <v>0</v>
      </c>
      <c r="L89" s="159">
        <f ca="1">L90+L91</f>
        <v>56000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IFERROR(__xludf.DUMMYFUNCTION("IMPORTRANGE(""https://docs.google.com/spreadsheets/d/1C3CXT74ZlgGe6_JY_1olB1XN4rF0dxEuIIF-xsYjHgg/edit?usp=sharing"",""พรบ!AH84"")"),56000)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IFERROR(__xludf.DUMMYFUNCTION("IMPORTRANGE(""https://docs.google.com/spreadsheets/d/1C3CXT74ZlgGe6_JY_1olB1XN4rF0dxEuIIF-xsYjHgg/edit?usp=sharing"",""พรบ!AI84"")"),4)</f>
        <v>4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IFERROR(__xludf.DUMMYFUNCTION("IMPORTRANGE(""https://docs.google.com/spreadsheets/d/1C3CXT74ZlgGe6_JY_1olB1XN4rF0dxEuIIF-xsYjHgg/edit?usp=sharing"",""กปร!C84"")"),48000)</f>
        <v>48000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2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30000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30000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IFERROR(__xludf.DUMMYFUNCTION("IMPORTRANGE(""https://docs.google.com/spreadsheets/d/1C3CXT74ZlgGe6_JY_1olB1XN4rF0dxEuIIF-xsYjHgg/edit?usp=sharing"",""พรบ!AJ84"")"),30000)</f>
        <v>30000</v>
      </c>
      <c r="M104" s="59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4">
        <v>0</v>
      </c>
      <c r="K106" s="54"/>
      <c r="L106" s="66"/>
      <c r="M106" s="66"/>
      <c r="N106" s="66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4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4">
        <v>1</v>
      </c>
      <c r="K108" s="54"/>
      <c r="L108" s="66"/>
      <c r="M108" s="66"/>
      <c r="N108" s="66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4">
        <v>1</v>
      </c>
      <c r="K109" s="54"/>
      <c r="L109" s="66"/>
      <c r="M109" s="66"/>
      <c r="N109" s="66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IFERROR(__xludf.DUMMYFUNCTION("IMPORTRANGE(""https://docs.google.com/spreadsheets/d/1C3CXT74ZlgGe6_JY_1olB1XN4rF0dxEuIIF-xsYjHgg/edit?usp=sharing"",""พรบ!AK84"")"),2)</f>
        <v>2</v>
      </c>
      <c r="J110" s="74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IFERROR(__xludf.DUMMYFUNCTION("IMPORTRANGE(""https://docs.google.com/spreadsheets/d/1C3CXT74ZlgGe6_JY_1olB1XN4rF0dxEuIIF-xsYjHgg/edit?usp=sharing"",""กปร!D84"")"),10000)</f>
        <v>10000</v>
      </c>
      <c r="M110" s="383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IFERROR(__xludf.DUMMYFUNCTION("IMPORTRANGE(""https://docs.google.com/spreadsheets/d/1C3CXT74ZlgGe6_JY_1olB1XN4rF0dxEuIIF-xsYjHgg/edit?usp=sharing"",""พรบ!AL84"")"),2)</f>
        <v>2</v>
      </c>
      <c r="J111" s="74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IFERROR(__xludf.DUMMYFUNCTION("IMPORTRANGE(""https://docs.google.com/spreadsheets/d/1C3CXT74ZlgGe6_JY_1olB1XN4rF0dxEuIIF-xsYjHgg/edit?usp=sharing"",""กปร!E84"")"),16000)</f>
        <v>16000</v>
      </c>
      <c r="M111" s="383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4">
        <v>0</v>
      </c>
      <c r="K112" s="54"/>
      <c r="L112" s="66"/>
      <c r="M112" s="66"/>
      <c r="N112" s="66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90">
        <v>0</v>
      </c>
      <c r="K113" s="54"/>
      <c r="L113" s="66"/>
      <c r="M113" s="66"/>
      <c r="N113" s="66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50000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19500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IFERROR(__xludf.DUMMYFUNCTION("IMPORTRANGE(""https://docs.google.com/spreadsheets/d/1C3CXT74ZlgGe6_JY_1olB1XN4rF0dxEuIIF-xsYjHgg/edit?usp=sharing"",""พรบ!AM84"")"),19500)</f>
        <v>19500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1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IFERROR(__xludf.DUMMYFUNCTION("IMPORTRANGE(""https://docs.google.com/spreadsheets/d/1C3CXT74ZlgGe6_JY_1olB1XN4rF0dxEuIIF-xsYjHgg/edit?usp=sharing"",""พรบ!AO84"")"),50000)</f>
        <v>50000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IFERROR(__xludf.DUMMYFUNCTION("IMPORTRANGE(""https://docs.google.com/spreadsheets/d/1C3CXT74ZlgGe6_JY_1olB1XN4rF0dxEuIIF-xsYjHgg/edit?usp=sharing"",""พรบ!AP84"")"),50000)</f>
        <v>50000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IFERROR(__xludf.DUMMYFUNCTION("IMPORTRANGE(""https://docs.google.com/spreadsheets/d/1C3CXT74ZlgGe6_JY_1olB1XN4rF0dxEuIIF-xsYjHgg/edit?usp=sharing"",""กปร!F84"")"),13500)</f>
        <v>13500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IFERROR(__xludf.DUMMYFUNCTION("IMPORTRANGE(""https://docs.google.com/spreadsheets/d/1C3CXT74ZlgGe6_JY_1olB1XN4rF0dxEuIIF-xsYjHgg/edit?usp=sharing"",""พรบ!AQ84"")"),0)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IFERROR(__xludf.DUMMYFUNCTION("IMPORTRANGE(""https://docs.google.com/spreadsheets/d/1C3CXT74ZlgGe6_JY_1olB1XN4rF0dxEuIIF-xsYjHgg/edit?usp=sharing"",""กปร!G84"")"),0)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224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100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375500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375500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IFERROR(__xludf.DUMMYFUNCTION("IMPORTRANGE(""https://docs.google.com/spreadsheets/d/1C3CXT74ZlgGe6_JY_1olB1XN4rF0dxEuIIF-xsYjHgg/edit?usp=sharing"",""พรบ!AR84"")"),375500)</f>
        <v>375500</v>
      </c>
      <c r="M132" s="59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4">
        <v>0</v>
      </c>
      <c r="K134" s="54"/>
      <c r="L134" s="66"/>
      <c r="M134" s="66"/>
      <c r="N134" s="66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4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4">
        <v>1</v>
      </c>
      <c r="K136" s="54"/>
      <c r="L136" s="66"/>
      <c r="M136" s="66"/>
      <c r="N136" s="66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4">
        <v>1</v>
      </c>
      <c r="K137" s="54"/>
      <c r="L137" s="66"/>
      <c r="M137" s="66"/>
      <c r="N137" s="66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IFERROR(__xludf.DUMMYFUNCTION("IMPORTRANGE(""https://docs.google.com/spreadsheets/d/1C3CXT74ZlgGe6_JY_1olB1XN4rF0dxEuIIF-xsYjHgg/edit?usp=sharing"",""พรบ!AS84"")"),100)</f>
        <v>100</v>
      </c>
      <c r="J138" s="74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IFERROR(__xludf.DUMMYFUNCTION("IMPORTRANGE(""https://docs.google.com/spreadsheets/d/1C3CXT74ZlgGe6_JY_1olB1XN4rF0dxEuIIF-xsYjHgg/edit?usp=sharing"",""กปร!H84"")"),154000)</f>
        <v>154000</v>
      </c>
      <c r="M138" s="383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54"/>
      <c r="L139" s="66"/>
      <c r="M139" s="66"/>
      <c r="N139" s="66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IFERROR(__xludf.DUMMYFUNCTION("IMPORTRANGE(""https://docs.google.com/spreadsheets/d/1C3CXT74ZlgGe6_JY_1olB1XN4rF0dxEuIIF-xsYjHgg/edit?usp=sharing"",""พรบ!AT84"")"),0)</f>
        <v>0</v>
      </c>
      <c r="J140" s="74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IFERROR(__xludf.DUMMYFUNCTION("IMPORTRANGE(""https://docs.google.com/spreadsheets/d/1C3CXT74ZlgGe6_JY_1olB1XN4rF0dxEuIIF-xsYjHgg/edit?usp=sharing"",""พรบ!AU84"")"),6)</f>
        <v>6</v>
      </c>
      <c r="J141" s="74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IFERROR(__xludf.DUMMYFUNCTION("IMPORTRANGE(""https://docs.google.com/spreadsheets/d/1C3CXT74ZlgGe6_JY_1olB1XN4rF0dxEuIIF-xsYjHgg/edit?usp=sharing"",""กปร!J84"")"),45000)</f>
        <v>45000</v>
      </c>
      <c r="M141" s="383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4">
        <v>0</v>
      </c>
      <c r="K142" s="54"/>
      <c r="L142" s="66"/>
      <c r="M142" s="66"/>
      <c r="N142" s="66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121">
        <v>0</v>
      </c>
      <c r="K143" s="122"/>
      <c r="L143" s="123"/>
      <c r="M143" s="123"/>
      <c r="N143" s="123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IFERROR(__xludf.DUMMYFUNCTION("IMPORTRANGE(""https://docs.google.com/spreadsheets/d/1C3CXT74ZlgGe6_JY_1olB1XN4rF0dxEuIIF-xsYjHgg/edit?usp=sharing"",""พรบ!AY84"")"),21125)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IFERROR(__xludf.DUMMYFUNCTION("IMPORTRANGE(""https://docs.google.com/spreadsheets/d/1C3CXT74ZlgGe6_JY_1olB1XN4rF0dxEuIIF-xsYjHgg/edit?usp=sharing"",""พรบ!BA84"")"),15)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IFERROR(__xludf.DUMMYFUNCTION("IMPORTRANGE(""https://docs.google.com/spreadsheets/d/1C3CXT74ZlgGe6_JY_1olB1XN4rF0dxEuIIF-xsYjHgg/edit?usp=sharing"",""พรบ!BD84"")"),0)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IFERROR(__xludf.DUMMYFUNCTION("IMPORTRANGE(""https://docs.google.com/spreadsheets/d/1C3CXT74ZlgGe6_JY_1olB1XN4rF0dxEuIIF-xsYjHgg/edit?usp=sharing"",""พรบ!BE84"")"),0)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IFERROR(__xludf.DUMMYFUNCTION("IMPORTRANGE(""https://docs.google.com/spreadsheets/d/1C3CXT74ZlgGe6_JY_1olB1XN4rF0dxEuIIF-xsYjHgg/edit?usp=sharing"",""พรบ!BF84"")"),0)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IFERROR(__xludf.DUMMYFUNCTION("IMPORTRANGE(""https://docs.google.com/spreadsheets/d/1C3CXT74ZlgGe6_JY_1olB1XN4rF0dxEuIIF-xsYjHgg/edit?usp=sharing"",""พรบ!BG84"")"),0)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IFERROR(__xludf.DUMMYFUNCTION("IMPORTRANGE(""https://docs.google.com/spreadsheets/d/1C3CXT74ZlgGe6_JY_1olB1XN4rF0dxEuIIF-xsYjHgg/edit?usp=sharing"",""พรบ!BH84"")"),0)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IFERROR(__xludf.DUMMYFUNCTION("IMPORTRANGE(""https://docs.google.com/spreadsheets/d/1C3CXT74ZlgGe6_JY_1olB1XN4rF0dxEuIIF-xsYjHgg/edit?usp=sharing"",""พรบ!BI84"")"),0)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IFERROR(__xludf.DUMMYFUNCTION("IMPORTRANGE(""https://docs.google.com/spreadsheets/d/1C3CXT74ZlgGe6_JY_1olB1XN4rF0dxEuIIF-xsYjHgg/edit?usp=sharing"",""พรบ!BK84"")"),0)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IFERROR(__xludf.DUMMYFUNCTION("IMPORTRANGE(""https://docs.google.com/spreadsheets/d/1C3CXT74ZlgGe6_JY_1olB1XN4rF0dxEuIIF-xsYjHgg/edit?usp=sharing"",""พรบ!BL84"")"),0)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IFERROR(__xludf.DUMMYFUNCTION("IMPORTRANGE(""https://docs.google.com/spreadsheets/d/1C3CXT74ZlgGe6_JY_1olB1XN4rF0dxEuIIF-xsYjHgg/edit?usp=sharing"",""พรบ!BM84"")"),0)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IFERROR(__xludf.DUMMYFUNCTION("IMPORTRANGE(""https://docs.google.com/spreadsheets/d/1C3CXT74ZlgGe6_JY_1olB1XN4rF0dxEuIIF-xsYjHgg/edit?usp=sharing"",""พรบ!BP84"")"),0)</f>
        <v>0</v>
      </c>
      <c r="M203" s="58">
        <v>0</v>
      </c>
      <c r="N203" s="58">
        <f t="shared" ca="1" si="45"/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IFERROR(__xludf.DUMMYFUNCTION("IMPORTRANGE(""https://docs.google.com/spreadsheets/d/1C3CXT74ZlgGe6_JY_1olB1XN4rF0dxEuIIF-xsYjHgg/edit?usp=sharing"",""พรบ!BQ84"")"),0)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IFERROR(__xludf.DUMMYFUNCTION("IMPORTRANGE(""https://docs.google.com/spreadsheets/d/1C3CXT74ZlgGe6_JY_1olB1XN4rF0dxEuIIF-xsYjHgg/edit?usp=sharing"",""พรบ!BR84"")"),0)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IFERROR(__xludf.DUMMYFUNCTION("IMPORTRANGE(""https://docs.google.com/spreadsheets/d/1C3CXT74ZlgGe6_JY_1olB1XN4rF0dxEuIIF-xsYjHgg/edit?usp=sharing"",""พรบ!BU84"")"),0)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IFERROR(__xludf.DUMMYFUNCTION("IMPORTRANGE(""https://docs.google.com/spreadsheets/d/1C3CXT74ZlgGe6_JY_1olB1XN4rF0dxEuIIF-xsYjHgg/edit?usp=sharing"",""พรบ!BV84"")"),0)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310</v>
      </c>
      <c r="J228" s="212">
        <f ca="1">J240</f>
        <v>0</v>
      </c>
      <c r="K228" s="192">
        <f ca="1">IF(I228&gt;0,J228*100/I228,0)</f>
        <v>0</v>
      </c>
      <c r="L228" s="193">
        <f ca="1">L229+L230</f>
        <v>667340</v>
      </c>
      <c r="M228" s="193">
        <f>SUM(M229:M230)</f>
        <v>0</v>
      </c>
      <c r="N228" s="192">
        <f ca="1">IF(L228&gt;0,M228*100/L228,0)</f>
        <v>0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667340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IFERROR(__xludf.DUMMYFUNCTION("IMPORTRANGE(""https://docs.google.com/spreadsheets/d/1C3CXT74ZlgGe6_JY_1olB1XN4rF0dxEuIIF-xsYjHgg/edit?usp=sharing"",""พรบ!BX84"")"),194400)</f>
        <v>194400</v>
      </c>
      <c r="M231" s="59">
        <v>0</v>
      </c>
      <c r="N231" s="58">
        <f t="shared" ca="1" si="50"/>
        <v>0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IFERROR(__xludf.DUMMYFUNCTION("IMPORTRANGE(""https://docs.google.com/spreadsheets/d/1C3CXT74ZlgGe6_JY_1olB1XN4rF0dxEuIIF-xsYjHgg/edit?usp=sharing"",""พรบ!BY84"")"),472940)</f>
        <v>472940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IFERROR(__xludf.DUMMYFUNCTION("IMPORTRANGE(""https://docs.google.com/spreadsheets/d/1AGHcLOeeYFL3K4b9R1dSzyJy00PE_ra89DNTVfnxSWM/edit?usp=sharing"",""รวมที่ทำกิน!J73"")"),0)</f>
        <v>0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103</v>
      </c>
      <c r="I235" s="73">
        <f ca="1">IFERROR(__xludf.DUMMYFUNCTION("IMPORTRANGE(""https://docs.google.com/spreadsheets/d/1C3CXT74ZlgGe6_JY_1olB1XN4rF0dxEuIIF-xsYjHgg/edit?usp=sharing"",""พรบ!BZ84"")"),2720)</f>
        <v>2720</v>
      </c>
      <c r="J235" s="73">
        <f ca="1">IFERROR(__xludf.DUMMYFUNCTION("IMPORTRANGE(""https://docs.google.com/spreadsheets/d/1AGHcLOeeYFL3K4b9R1dSzyJy00PE_ra89DNTVfnxSWM/edit?usp=sharing"",""รวมที่ทำกิน!L73"")"),0)</f>
        <v>0</v>
      </c>
      <c r="K235" s="215">
        <f t="shared" ca="1" si="52"/>
        <v>0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IFERROR(__xludf.DUMMYFUNCTION("IMPORTRANGE(""https://docs.google.com/spreadsheets/d/1C3CXT74ZlgGe6_JY_1olB1XN4rF0dxEuIIF-xsYjHgg/edit?usp=sharing"",""พรบ!CA84"")"),310)</f>
        <v>310</v>
      </c>
      <c r="J236" s="73">
        <f ca="1">IFERROR(__xludf.DUMMYFUNCTION("IMPORTRANGE(""https://docs.google.com/spreadsheets/d/1AGHcLOeeYFL3K4b9R1dSzyJy00PE_ra89DNTVfnxSWM/edit?usp=sharing"",""รวมที่ทำกิน!O73"")"),0)</f>
        <v>0</v>
      </c>
      <c r="K236" s="215">
        <f t="shared" ca="1" si="52"/>
        <v>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IFERROR(__xludf.DUMMYFUNCTION("IMPORTRANGE(""https://docs.google.com/spreadsheets/d/1AGHcLOeeYFL3K4b9R1dSzyJy00PE_ra89DNTVfnxSWM/edit?usp=sharing"",""รวมที่ทำกิน!Q73"")"),0)</f>
        <v>0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IFERROR(__xludf.DUMMYFUNCTION("IMPORTRANGE(""https://docs.google.com/spreadsheets/d/1C3CXT74ZlgGe6_JY_1olB1XN4rF0dxEuIIF-xsYjHgg/edit?usp=sharing"",""พรบ!CB84"")"),310)</f>
        <v>310</v>
      </c>
      <c r="J238" s="73">
        <f ca="1">IFERROR(__xludf.DUMMYFUNCTION("IMPORTRANGE(""https://docs.google.com/spreadsheets/d/1AGHcLOeeYFL3K4b9R1dSzyJy00PE_ra89DNTVfnxSWM/edit?usp=sharing"",""รวมที่ทำกิน!S73"")"),0)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IFERROR(__xludf.DUMMYFUNCTION("IMPORTRANGE(""https://docs.google.com/spreadsheets/d/1AGHcLOeeYFL3K4b9R1dSzyJy00PE_ra89DNTVfnxSWM/edit?usp=sharing"",""รวมที่ทำกิน!U73"")"),0)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IFERROR(__xludf.DUMMYFUNCTION("IMPORTRANGE(""https://docs.google.com/spreadsheets/d/1C3CXT74ZlgGe6_JY_1olB1XN4rF0dxEuIIF-xsYjHgg/edit?usp=sharing"",""พรบ!CC84"")"),310)</f>
        <v>310</v>
      </c>
      <c r="J240" s="73">
        <f ca="1">IFERROR(__xludf.DUMMYFUNCTION("IMPORTRANGE(""https://docs.google.com/spreadsheets/d/1AGHcLOeeYFL3K4b9R1dSzyJy00PE_ra89DNTVfnxSWM/edit?usp=sharing"",""รวมที่ทำกิน!W73"")"),0)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IFERROR(__xludf.DUMMYFUNCTION("IMPORTRANGE(""https://docs.google.com/spreadsheets/d/1AGHcLOeeYFL3K4b9R1dSzyJy00PE_ra89DNTVfnxSWM/edit?usp=sharing"",""รวมที่ทำกิน!Y73"")"),0)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1192431</v>
      </c>
      <c r="M242" s="230">
        <f t="shared" si="53"/>
        <v>5400</v>
      </c>
      <c r="N242" s="230">
        <f ca="1">+IF(L242&gt;0,M242*100/L242,0)</f>
        <v>0.45285639169058839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73" t="s">
        <v>21</v>
      </c>
      <c r="J246" s="73"/>
      <c r="K246" s="250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73"/>
      <c r="J247" s="73"/>
      <c r="K247" s="250"/>
      <c r="L247" s="55">
        <f t="shared" ref="L247:M247" ca="1" si="59">SUM(L248:L249)</f>
        <v>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73"/>
      <c r="J248" s="73"/>
      <c r="K248" s="250"/>
      <c r="L248" s="58">
        <f ca="1">IFERROR(__xludf.DUMMYFUNCTION("IMPORTRANGE(""https://docs.google.com/spreadsheets/d/1C3CXT74ZlgGe6_JY_1olB1XN4rF0dxEuIIF-xsYjHgg/edit?usp=sharing"",""งบกองทุน!d84"")"),0)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73"/>
      <c r="J249" s="73"/>
      <c r="K249" s="250"/>
      <c r="L249" s="58">
        <f ca="1">IFERROR(__xludf.DUMMYFUNCTION("IMPORTRANGE(""https://docs.google.com/spreadsheets/d/1C3CXT74ZlgGe6_JY_1olB1XN4rF0dxEuIIF-xsYjHgg/edit?usp=sharing"",""งบกองทุน!e84"")"),0)</f>
        <v>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8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8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8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8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73"/>
      <c r="J254" s="73"/>
      <c r="K254" s="250"/>
      <c r="L254" s="58"/>
      <c r="M254" s="58"/>
      <c r="N254" s="58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3">
        <v>0</v>
      </c>
      <c r="K255" s="250"/>
      <c r="L255" s="58"/>
      <c r="M255" s="58"/>
      <c r="N255" s="58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3">
        <v>0</v>
      </c>
      <c r="K256" s="250"/>
      <c r="L256" s="58" t="s">
        <v>21</v>
      </c>
      <c r="M256" s="58" t="s">
        <v>21</v>
      </c>
      <c r="N256" s="58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3">
        <v>0</v>
      </c>
      <c r="K257" s="250"/>
      <c r="L257" s="58"/>
      <c r="M257" s="58"/>
      <c r="N257" s="58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3">
        <v>0</v>
      </c>
      <c r="K258" s="250"/>
      <c r="L258" s="58"/>
      <c r="M258" s="58"/>
      <c r="N258" s="58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250"/>
      <c r="L259" s="58"/>
      <c r="M259" s="58"/>
      <c r="N259" s="58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IFERROR(__xludf.DUMMYFUNCTION("IMPORTRANGE(""https://docs.google.com/spreadsheets/d/1C3CXT74ZlgGe6_JY_1olB1XN4rF0dxEuIIF-xsYjHgg/edit?usp=sharing"",""งบกองทุน!f84"")"),0)</f>
        <v>0</v>
      </c>
      <c r="J260" s="73">
        <v>0</v>
      </c>
      <c r="K260" s="250">
        <f ca="1">IF(I260&gt;0,J260*100/I260,0)</f>
        <v>0</v>
      </c>
      <c r="L260" s="58"/>
      <c r="M260" s="58"/>
      <c r="N260" s="58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73"/>
      <c r="J261" s="73"/>
      <c r="K261" s="250"/>
      <c r="L261" s="58"/>
      <c r="M261" s="58"/>
      <c r="N261" s="58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0</v>
      </c>
      <c r="J262" s="73">
        <f t="shared" si="60"/>
        <v>0</v>
      </c>
      <c r="K262" s="250">
        <f t="shared" ref="K262:K268" ca="1" si="61">IF(I262&gt;0,J262*100/I262,0)</f>
        <v>0</v>
      </c>
      <c r="L262" s="58"/>
      <c r="M262" s="58"/>
      <c r="N262" s="58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73">
        <f ca="1">IFERROR(__xludf.DUMMYFUNCTION("IMPORTRANGE(""https://docs.google.com/spreadsheets/d/1C3CXT74ZlgGe6_JY_1olB1XN4rF0dxEuIIF-xsYjHgg/edit?usp=sharing"",""งบกองทุน!H84"")"),0)</f>
        <v>0</v>
      </c>
      <c r="J263" s="73">
        <f>J267</f>
        <v>0</v>
      </c>
      <c r="K263" s="250">
        <f t="shared" ca="1" si="61"/>
        <v>0</v>
      </c>
      <c r="L263" s="58"/>
      <c r="M263" s="58"/>
      <c r="N263" s="58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73">
        <f ca="1">IFERROR(__xludf.DUMMYFUNCTION("IMPORTRANGE(""https://docs.google.com/spreadsheets/d/1C3CXT74ZlgGe6_JY_1olB1XN4rF0dxEuIIF-xsYjHgg/edit?usp=sharing"",""งบกองทุน!i84"")"),0)</f>
        <v>0</v>
      </c>
      <c r="J264" s="73">
        <v>0</v>
      </c>
      <c r="K264" s="250">
        <f t="shared" ca="1" si="61"/>
        <v>0</v>
      </c>
      <c r="L264" s="58"/>
      <c r="M264" s="58"/>
      <c r="N264" s="58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73">
        <f ca="1">I263</f>
        <v>0</v>
      </c>
      <c r="J265" s="73">
        <v>0</v>
      </c>
      <c r="K265" s="250">
        <f t="shared" ca="1" si="61"/>
        <v>0</v>
      </c>
      <c r="L265" s="58"/>
      <c r="M265" s="58"/>
      <c r="N265" s="58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73">
        <f ca="1">IFERROR(__xludf.DUMMYFUNCTION("IMPORTRANGE(""https://docs.google.com/spreadsheets/d/1C3CXT74ZlgGe6_JY_1olB1XN4rF0dxEuIIF-xsYjHgg/edit?usp=sharing"",""งบกองทุน!k84"")"),0)</f>
        <v>0</v>
      </c>
      <c r="J266" s="73">
        <v>0</v>
      </c>
      <c r="K266" s="250">
        <f t="shared" ca="1" si="61"/>
        <v>0</v>
      </c>
      <c r="L266" s="58"/>
      <c r="M266" s="58"/>
      <c r="N266" s="58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73">
        <f ca="1">I263</f>
        <v>0</v>
      </c>
      <c r="J267" s="73">
        <v>0</v>
      </c>
      <c r="K267" s="250">
        <f t="shared" ca="1" si="61"/>
        <v>0</v>
      </c>
      <c r="L267" s="58"/>
      <c r="M267" s="58"/>
      <c r="N267" s="58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IFERROR(__xludf.DUMMYFUNCTION("IMPORTRANGE(""https://docs.google.com/spreadsheets/d/1C3CXT74ZlgGe6_JY_1olB1XN4rF0dxEuIIF-xsYjHgg/edit?usp=sharing"",""งบกองทุน!m84"")"),0)</f>
        <v>0</v>
      </c>
      <c r="J268" s="73">
        <v>0</v>
      </c>
      <c r="K268" s="250">
        <f t="shared" ca="1" si="61"/>
        <v>0</v>
      </c>
      <c r="L268" s="58"/>
      <c r="M268" s="58"/>
      <c r="N268" s="58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250"/>
      <c r="L269" s="58"/>
      <c r="M269" s="58"/>
      <c r="N269" s="58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0</v>
      </c>
      <c r="J270" s="73">
        <f t="shared" si="62"/>
        <v>0</v>
      </c>
      <c r="K270" s="250">
        <f t="shared" ref="K270:K272" ca="1" si="63">IF(I270&gt;0,J270*100/I270,0)</f>
        <v>0</v>
      </c>
      <c r="L270" s="58"/>
      <c r="M270" s="58"/>
      <c r="N270" s="58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IFERROR(__xludf.DUMMYFUNCTION("IMPORTRANGE(""https://docs.google.com/spreadsheets/d/1C3CXT74ZlgGe6_JY_1olB1XN4rF0dxEuIIF-xsYjHgg/edit?usp=sharing"",""งบกองทุน!o84"")"),0)</f>
        <v>0</v>
      </c>
      <c r="J271" s="73">
        <v>0</v>
      </c>
      <c r="K271" s="250">
        <f t="shared" ca="1" si="63"/>
        <v>0</v>
      </c>
      <c r="L271" s="58"/>
      <c r="M271" s="58"/>
      <c r="N271" s="58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IFERROR(__xludf.DUMMYFUNCTION("IMPORTRANGE(""https://docs.google.com/spreadsheets/d/1C3CXT74ZlgGe6_JY_1olB1XN4rF0dxEuIIF-xsYjHgg/edit?usp=sharing"",""งบกองทุน!p84"")"),0)</f>
        <v>0</v>
      </c>
      <c r="J272" s="73">
        <v>0</v>
      </c>
      <c r="K272" s="250">
        <f t="shared" ca="1" si="63"/>
        <v>0</v>
      </c>
      <c r="L272" s="58"/>
      <c r="M272" s="58"/>
      <c r="N272" s="58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3">
        <v>0</v>
      </c>
      <c r="K273" s="250"/>
      <c r="L273" s="58"/>
      <c r="M273" s="58"/>
      <c r="N273" s="58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380">
        <v>0</v>
      </c>
      <c r="K274" s="250"/>
      <c r="L274" s="58"/>
      <c r="M274" s="58"/>
      <c r="N274" s="58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200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207560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20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207560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IFERROR(__xludf.DUMMYFUNCTION("IMPORTRANGE(""https://docs.google.com/spreadsheets/d/1C3CXT74ZlgGe6_JY_1olB1XN4rF0dxEuIIF-xsYjHgg/edit?usp=sharing"",""งบกองทุน!r84"")"),0)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IFERROR(__xludf.DUMMYFUNCTION("IMPORTRANGE(""https://docs.google.com/spreadsheets/d/1C3CXT74ZlgGe6_JY_1olB1XN4rF0dxEuIIF-xsYjHgg/edit?usp=sharing"",""งบกองทุน!s84"")"),207560)</f>
        <v>207560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IFERROR(__xludf.DUMMYFUNCTION("IMPORTRANGE(""https://docs.google.com/spreadsheets/d/1C3CXT74ZlgGe6_JY_1olB1XN4rF0dxEuIIF-xsYjHgg/edit?usp=sharing"",""งบกองทุน!v84"")"),20)</f>
        <v>20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IFERROR(__xludf.DUMMYFUNCTION("IMPORTRANGE(""https://docs.google.com/spreadsheets/d/1C3CXT74ZlgGe6_JY_1olB1XN4rF0dxEuIIF-xsYjHgg/edit?usp=sharing"",""งบกองทุน!w84"")"),200)</f>
        <v>200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IFERROR(__xludf.DUMMYFUNCTION("IMPORTRANGE(""https://docs.google.com/spreadsheets/d/1C3CXT74ZlgGe6_JY_1olB1XN4rF0dxEuIIF-xsYjHgg/edit?usp=sharing"",""งบกองทุน!x84"")"),20)</f>
        <v>20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120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114760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40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114760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IFERROR(__xludf.DUMMYFUNCTION("IMPORTRANGE(""https://docs.google.com/spreadsheets/d/1C3CXT74ZlgGe6_JY_1olB1XN4rF0dxEuIIF-xsYjHgg/edit?usp=sharing"",""งบกองทุน!z84"")"),0)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IFERROR(__xludf.DUMMYFUNCTION("IMPORTRANGE(""https://docs.google.com/spreadsheets/d/1C3CXT74ZlgGe6_JY_1olB1XN4rF0dxEuIIF-xsYjHgg/edit?usp=sharing"",""งบกองทุน!aa84"")"),114760)</f>
        <v>114760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40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IFERROR(__xludf.DUMMYFUNCTION("IMPORTRANGE(""https://docs.google.com/spreadsheets/d/1C3CXT74ZlgGe6_JY_1olB1XN4rF0dxEuIIF-xsYjHgg/edit?usp=sharing"",""งบกองทุน!ae84"")"),0)</f>
        <v>0</v>
      </c>
      <c r="J312" s="391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IFERROR(__xludf.DUMMYFUNCTION("IMPORTRANGE(""https://docs.google.com/spreadsheets/d/1C3CXT74ZlgGe6_JY_1olB1XN4rF0dxEuIIF-xsYjHgg/edit?usp=sharing"",""งบกองทุน!ad84"")"),0)</f>
        <v>0</v>
      </c>
      <c r="J313" s="391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IFERROR(__xludf.DUMMYFUNCTION("IMPORTRANGE(""https://docs.google.com/spreadsheets/d/1C3CXT74ZlgGe6_JY_1olB1XN4rF0dxEuIIF-xsYjHgg/edit?usp=sharing"",""งบกองทุน!af84"")"),0)</f>
        <v>0</v>
      </c>
      <c r="J314" s="392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IFERROR(__xludf.DUMMYFUNCTION("IMPORTRANGE(""https://docs.google.com/spreadsheets/d/1C3CXT74ZlgGe6_JY_1olB1XN4rF0dxEuIIF-xsYjHgg/edit?usp=sharing"",""งบกองทุน!ag84"")"),0)</f>
        <v>0</v>
      </c>
      <c r="J315" s="392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IFERROR(__xludf.DUMMYFUNCTION("IMPORTRANGE(""https://docs.google.com/spreadsheets/d/1C3CXT74ZlgGe6_JY_1olB1XN4rF0dxEuIIF-xsYjHgg/edit?usp=sharing"",""งบกองทุน!ai84"")"),20)</f>
        <v>20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IFERROR(__xludf.DUMMYFUNCTION("IMPORTRANGE(""https://docs.google.com/spreadsheets/d/1C3CXT74ZlgGe6_JY_1olB1XN4rF0dxEuIIF-xsYjHgg/edit?usp=sharing"",""งบกองทุน!ah84"")"),60)</f>
        <v>60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IFERROR(__xludf.DUMMYFUNCTION("IMPORTRANGE(""https://docs.google.com/spreadsheets/d/1C3CXT74ZlgGe6_JY_1olB1XN4rF0dxEuIIF-xsYjHgg/edit?usp=sharing"",""งบกองทุน!aj84"")"),20)</f>
        <v>20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IFERROR(__xludf.DUMMYFUNCTION("IMPORTRANGE(""https://docs.google.com/spreadsheets/d/1C3CXT74ZlgGe6_JY_1olB1XN4rF0dxEuIIF-xsYjHgg/edit?usp=sharing"",""งบกองทุน!ak84"")"),20)</f>
        <v>20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IFERROR(__xludf.DUMMYFUNCTION("IMPORTRANGE(""https://docs.google.com/spreadsheets/d/1C3CXT74ZlgGe6_JY_1olB1XN4rF0dxEuIIF-xsYjHgg/edit?usp=sharing"",""งบกองทุน!al84"")"),20)</f>
        <v>20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IFERROR(__xludf.DUMMYFUNCTION("IMPORTRANGE(""https://docs.google.com/spreadsheets/d/1C3CXT74ZlgGe6_JY_1olB1XN4rF0dxEuIIF-xsYjHgg/edit?usp=sharing"",""งบกองทุน!an84"")"),20)</f>
        <v>20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IFERROR(__xludf.DUMMYFUNCTION("IMPORTRANGE(""https://docs.google.com/spreadsheets/d/1C3CXT74ZlgGe6_JY_1olB1XN4rF0dxEuIIF-xsYjHgg/edit?usp=sharing"",""งบกองทุน!am84"")"),60)</f>
        <v>60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IFERROR(__xludf.DUMMYFUNCTION("IMPORTRANGE(""https://docs.google.com/spreadsheets/d/1C3CXT74ZlgGe6_JY_1olB1XN4rF0dxEuIIF-xsYjHgg/edit?usp=sharing"",""งบกองทุน!ao84"")"),20)</f>
        <v>20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IFERROR(__xludf.DUMMYFUNCTION("IMPORTRANGE(""https://docs.google.com/spreadsheets/d/1C3CXT74ZlgGe6_JY_1olB1XN4rF0dxEuIIF-xsYjHgg/edit?usp=sharing"",""งบกองทุน!ap84"")"),20)</f>
        <v>20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20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IFERROR(__xludf.DUMMYFUNCTION("IMPORTRANGE(""https://docs.google.com/spreadsheets/d/1C3CXT74ZlgGe6_JY_1olB1XN4rF0dxEuIIF-xsYjHgg/edit?usp=sharing"",""งบกองทุน!ar84"")"),0)</f>
        <v>0</v>
      </c>
      <c r="J326" s="392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IFERROR(__xludf.DUMMYFUNCTION("IMPORTRANGE(""https://docs.google.com/spreadsheets/d/1C3CXT74ZlgGe6_JY_1olB1XN4rF0dxEuIIF-xsYjHgg/edit?usp=sharing"",""งบกองทุน!as84"")"),20)</f>
        <v>20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15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83000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83000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IFERROR(__xludf.DUMMYFUNCTION("IMPORTRANGE(""https://docs.google.com/spreadsheets/d/1C3CXT74ZlgGe6_JY_1olB1XN4rF0dxEuIIF-xsYjHgg/edit?usp=sharing"",""งบกองทุน!au84"")"),0)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IFERROR(__xludf.DUMMYFUNCTION("IMPORTRANGE(""https://docs.google.com/spreadsheets/d/1C3CXT74ZlgGe6_JY_1olB1XN4rF0dxEuIIF-xsYjHgg/edit?usp=sharing"",""งบกองทุน!av84"")"),83000)</f>
        <v>83000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15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IFERROR(__xludf.DUMMYFUNCTION("IMPORTRANGE(""https://docs.google.com/spreadsheets/d/1C3CXT74ZlgGe6_JY_1olB1XN4rF0dxEuIIF-xsYjHgg/edit?usp=sharing"",""งบกองทุน!ay84"")"),15)</f>
        <v>15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IFERROR(__xludf.DUMMYFUNCTION("IMPORTRANGE(""https://docs.google.com/spreadsheets/d/1C3CXT74ZlgGe6_JY_1olB1XN4rF0dxEuIIF-xsYjHgg/edit?usp=sharing"",""งบกองทุน!az84"")"),0)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IFERROR(__xludf.DUMMYFUNCTION("IMPORTRANGE(""https://docs.google.com/spreadsheets/d/1C3CXT74ZlgGe6_JY_1olB1XN4rF0dxEuIIF-xsYjHgg/edit?usp=sharing"",""งบกองทุน!Ba84"")"),0)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46627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452204</v>
      </c>
      <c r="M350" s="246">
        <f t="shared" si="81"/>
        <v>0</v>
      </c>
      <c r="N350" s="246">
        <f t="shared" ref="N350:N354" ca="1" si="82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452204</v>
      </c>
      <c r="M352" s="58">
        <f t="shared" si="83"/>
        <v>0</v>
      </c>
      <c r="N352" s="58">
        <f t="shared" ca="1" si="82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IFERROR(__xludf.DUMMYFUNCTION("IMPORTRANGE(""https://docs.google.com/spreadsheets/d/1C3CXT74ZlgGe6_JY_1olB1XN4rF0dxEuIIF-xsYjHgg/edit?usp=sharing"",""งบกองทุน!Bc84"")"),0)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IFERROR(__xludf.DUMMYFUNCTION("IMPORTRANGE(""https://docs.google.com/spreadsheets/d/1C3CXT74ZlgGe6_JY_1olB1XN4rF0dxEuIIF-xsYjHgg/edit?usp=sharing"",""งบกองทุน!Bd84"")"),452204)</f>
        <v>452204</v>
      </c>
      <c r="M354" s="58">
        <f>SUM(M355:M358)</f>
        <v>0</v>
      </c>
      <c r="N354" s="58">
        <f t="shared" ca="1" si="82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IFERROR(__xludf.DUMMYFUNCTION("IMPORTRANGE(""https://docs.google.com/spreadsheets/d/1C3CXT74ZlgGe6_JY_1olB1XN4rF0dxEuIIF-xsYjHgg/edit?usp=sharing"",""งบกองทุน!BE84"")"),46627)</f>
        <v>46627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46627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IFERROR(__xludf.DUMMYFUNCTION("IMPORTRANGE(""https://docs.google.com/spreadsheets/d/1C3CXT74ZlgGe6_JY_1olB1XN4rF0dxEuIIF-xsYjHgg/edit?usp=sharing"",""งบกองทุน!BF84"")"),6576)</f>
        <v>6576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46627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6576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46627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6576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IFERROR(__xludf.DUMMYFUNCTION("IMPORTRANGE(""https://docs.google.com/spreadsheets/d/1C3CXT74ZlgGe6_JY_1olB1XN4rF0dxEuIIF-xsYjHgg/edit?usp=sharing"",""งบกองทุน!cd84"")"),0)</f>
        <v>0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IFERROR(__xludf.DUMMYFUNCTION("IMPORTRANGE(""https://docs.google.com/spreadsheets/d/1C3CXT74ZlgGe6_JY_1olB1XN4rF0dxEuIIF-xsYjHgg/edit?usp=sharing"",""งบกองทุน!cd84"")"),0)</f>
        <v>0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IFERROR(__xludf.DUMMYFUNCTION("IMPORTRANGE(""https://docs.google.com/spreadsheets/d/1C3CXT74ZlgGe6_JY_1olB1XN4rF0dxEuIIF-xsYjHgg/edit?usp=sharing"",""งบกองทุน!cc84"")"),0)</f>
        <v>0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IFERROR(__xludf.DUMMYFUNCTION("IMPORTRANGE(""https://docs.google.com/spreadsheets/d/1C3CXT74ZlgGe6_JY_1olB1XN4rF0dxEuIIF-xsYjHgg/edit?usp=sharing"",""งบกองทุน!cz84"")"),0)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IFERROR(__xludf.DUMMYFUNCTION("IMPORTRANGE(""https://docs.google.com/spreadsheets/d/1C3CXT74ZlgGe6_JY_1olB1XN4rF0dxEuIIF-xsYjHgg/edit?usp=sharing"",""งบกองทุน!cz84"")"),0)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IFERROR(__xludf.DUMMYFUNCTION("IMPORTRANGE(""https://docs.google.com/spreadsheets/d/1C3CXT74ZlgGe6_JY_1olB1XN4rF0dxEuIIF-xsYjHgg/edit?usp=sharing"",""งบกองทุน!cy84"")"),0)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IFERROR(__xludf.DUMMYFUNCTION("IMPORTRANGE(""https://docs.google.com/spreadsheets/d/1C3CXT74ZlgGe6_JY_1olB1XN4rF0dxEuIIF-xsYjHgg/edit?usp=sharing"",""งบกองทุน!db84"")"),0)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IFERROR(__xludf.DUMMYFUNCTION("IMPORTRANGE(""https://docs.google.com/spreadsheets/d/1C3CXT74ZlgGe6_JY_1olB1XN4rF0dxEuIIF-xsYjHgg/edit?usp=sharing"",""งบกองทุน!da84"")"),0)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IFERROR(__xludf.DUMMYFUNCTION("IMPORTRANGE(""https://docs.google.com/spreadsheets/d/1C3CXT74ZlgGe6_JY_1olB1XN4rF0dxEuIIF-xsYjHgg/edit?usp=sharing"",""งบกองทุน!dd84"")"),0)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IFERROR(__xludf.DUMMYFUNCTION("IMPORTRANGE(""https://docs.google.com/spreadsheets/d/1C3CXT74ZlgGe6_JY_1olB1XN4rF0dxEuIIF-xsYjHgg/edit?usp=sharing"",""งบกองทุน!dc84"")"),0)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IFERROR(__xludf.DUMMYFUNCTION("IMPORTRANGE(""https://docs.google.com/spreadsheets/d/1C3CXT74ZlgGe6_JY_1olB1XN4rF0dxEuIIF-xsYjHgg/edit?usp=sharing"",""งบกองทุน!df84"")"),0)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IFERROR(__xludf.DUMMYFUNCTION("IMPORTRANGE(""https://docs.google.com/spreadsheets/d/1C3CXT74ZlgGe6_JY_1olB1XN4rF0dxEuIIF-xsYjHgg/edit?usp=sharing"",""งบกองทุน!de84"")"),0)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26</v>
      </c>
      <c r="J426" s="275">
        <f t="shared" si="95"/>
        <v>0</v>
      </c>
      <c r="K426" s="276">
        <f ca="1">IF(I426&gt;0,J426*100/I426,0)</f>
        <v>0</v>
      </c>
      <c r="L426" s="277">
        <f t="shared" ref="L426:M426" ca="1" si="96">SUM(L427:L428)</f>
        <v>37740</v>
      </c>
      <c r="M426" s="277">
        <f t="shared" si="96"/>
        <v>4280</v>
      </c>
      <c r="N426" s="277">
        <f t="shared" ref="N426:N430" ca="1" si="97">+IF(L426&gt;0,M426*100/L426,0)</f>
        <v>11.340752517223105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37740</v>
      </c>
      <c r="M428" s="58">
        <f t="shared" si="98"/>
        <v>4280</v>
      </c>
      <c r="N428" s="58">
        <f t="shared" ca="1" si="97"/>
        <v>11.340752517223105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IFERROR(__xludf.DUMMYFUNCTION("IMPORTRANGE(""https://docs.google.com/spreadsheets/d/1C3CXT74ZlgGe6_JY_1olB1XN4rF0dxEuIIF-xsYjHgg/edit?usp=sharing"",""งบกองทุน!dn84"")"),0)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IFERROR(__xludf.DUMMYFUNCTION("IMPORTRANGE(""https://docs.google.com/spreadsheets/d/1C3CXT74ZlgGe6_JY_1olB1XN4rF0dxEuIIF-xsYjHgg/edit?usp=sharing"",""งบกองทุน!do84"")"),37740)</f>
        <v>37740</v>
      </c>
      <c r="M430" s="58">
        <f>SUM(M431:M434)</f>
        <v>4280</v>
      </c>
      <c r="N430" s="58">
        <f t="shared" ca="1" si="97"/>
        <v>11.340752517223105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4280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IFERROR(__xludf.DUMMYFUNCTION("IMPORTRANGE(""https://docs.google.com/spreadsheets/d/1C3CXT74ZlgGe6_JY_1olB1XN4rF0dxEuIIF-xsYjHgg/edit?usp=sharing"",""งบกองทุน!dq84"")"),26)</f>
        <v>26</v>
      </c>
      <c r="J440" s="74">
        <v>0</v>
      </c>
      <c r="K440" s="54">
        <f t="shared" ref="K440:K441" ca="1" si="99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IFERROR(__xludf.DUMMYFUNCTION("IMPORTRANGE(""https://docs.google.com/spreadsheets/d/1C3CXT74ZlgGe6_JY_1olB1XN4rF0dxEuIIF-xsYjHgg/edit?usp=sharing"",""งบกองทุน!dr84"")"),26)</f>
        <v>26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IFERROR(__xludf.DUMMYFUNCTION("IMPORTRANGE(""https://docs.google.com/spreadsheets/d/1C3CXT74ZlgGe6_JY_1olB1XN4rF0dxEuIIF-xsYjHgg/edit?usp=sharing"",""งบกองทุน!dt84"")"),0)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IFERROR(__xludf.DUMMYFUNCTION("IMPORTRANGE(""https://docs.google.com/spreadsheets/d/1C3CXT74ZlgGe6_JY_1olB1XN4rF0dxEuIIF-xsYjHgg/edit?usp=sharing"",""งบกองทุน!du84"")"),0)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IFERROR(__xludf.DUMMYFUNCTION("IMPORTRANGE(""https://docs.google.com/spreadsheets/d/1C3CXT74ZlgGe6_JY_1olB1XN4rF0dxEuIIF-xsYjHgg/edit?usp=sharing"",""งบกองทุน!dw84"")"),0)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IFERROR(__xludf.DUMMYFUNCTION("IMPORTRANGE(""https://docs.google.com/spreadsheets/d/1C3CXT74ZlgGe6_JY_1olB1XN4rF0dxEuIIF-xsYjHgg/edit?usp=sharing"",""งบกองทุน!dx84"")"),0)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IFERROR(__xludf.DUMMYFUNCTION("IMPORTRANGE(""https://docs.google.com/spreadsheets/d/1C3CXT74ZlgGe6_JY_1olB1XN4rF0dxEuIIF-xsYjHgg/edit?usp=sharing"",""งบกองทุน!dy84"")"),0)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IFERROR(__xludf.DUMMYFUNCTION("IMPORTRANGE(""https://docs.google.com/spreadsheets/d/1C3CXT74ZlgGe6_JY_1olB1XN4rF0dxEuIIF-xsYjHgg/edit?usp=sharing"",""งบกองทุน!dz84"")"),0)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1700</v>
      </c>
      <c r="J457" s="244">
        <f>+J466</f>
        <v>102</v>
      </c>
      <c r="K457" s="245">
        <f t="shared" ca="1" si="104"/>
        <v>6</v>
      </c>
      <c r="L457" s="246">
        <f t="shared" ref="L457:M457" ca="1" si="105">SUM(L458:L459)</f>
        <v>145440</v>
      </c>
      <c r="M457" s="246">
        <f t="shared" si="105"/>
        <v>1120</v>
      </c>
      <c r="N457" s="246">
        <f t="shared" ref="N457:N461" ca="1" si="106">+IF(L457&gt;0,M457*100/L457,0)</f>
        <v>0.77007700770077003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145440</v>
      </c>
      <c r="M459" s="58">
        <f t="shared" si="107"/>
        <v>1120</v>
      </c>
      <c r="N459" s="58">
        <f t="shared" ca="1" si="106"/>
        <v>0.77007700770077003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IFERROR(__xludf.DUMMYFUNCTION("IMPORTRANGE(""https://docs.google.com/spreadsheets/d/1C3CXT74ZlgGe6_JY_1olB1XN4rF0dxEuIIF-xsYjHgg/edit?usp=sharing"",""งบกองทุน!Eb84"")"),0)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IFERROR(__xludf.DUMMYFUNCTION("IMPORTRANGE(""https://docs.google.com/spreadsheets/d/1C3CXT74ZlgGe6_JY_1olB1XN4rF0dxEuIIF-xsYjHgg/edit?usp=sharing"",""งบกองทุน!Ec84"")"),145440)</f>
        <v>145440</v>
      </c>
      <c r="M461" s="58">
        <f>SUM(M462:M465)</f>
        <v>1120</v>
      </c>
      <c r="N461" s="58">
        <f t="shared" ca="1" si="106"/>
        <v>0.77007700770077003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1120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IFERROR(__xludf.DUMMYFUNCTION("IMPORTRANGE(""https://docs.google.com/spreadsheets/d/1C3CXT74ZlgGe6_JY_1olB1XN4rF0dxEuIIF-xsYjHgg/edit?usp=sharing"",""งบกองทุน!Ed84"")"),1700)</f>
        <v>1700</v>
      </c>
      <c r="J466" s="283">
        <f>+J469+J470+J471+J472</f>
        <v>102</v>
      </c>
      <c r="K466" s="85">
        <f ca="1">IF(I466&gt;0,J466*100/I466,0)</f>
        <v>6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102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27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147177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53" t="s">
        <v>21</v>
      </c>
      <c r="J474" s="53"/>
      <c r="K474" s="54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53"/>
      <c r="J475" s="53"/>
      <c r="K475" s="54"/>
      <c r="L475" s="55">
        <f t="shared" ref="L475:M475" ca="1" si="110">SUM(L476:L477)</f>
        <v>147177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53"/>
      <c r="J476" s="53"/>
      <c r="K476" s="54"/>
      <c r="L476" s="58">
        <f ca="1">IFERROR(__xludf.DUMMYFUNCTION("IMPORTRANGE(""https://docs.google.com/spreadsheets/d/1C3CXT74ZlgGe6_JY_1olB1XN4rF0dxEuIIF-xsYjHgg/edit?usp=sharing"",""งบกองทุน!Ek84"")"),0)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53"/>
      <c r="J477" s="53"/>
      <c r="K477" s="54"/>
      <c r="L477" s="58">
        <f ca="1">IFERROR(__xludf.DUMMYFUNCTION("IMPORTRANGE(""https://docs.google.com/spreadsheets/d/1C3CXT74ZlgGe6_JY_1olB1XN4rF0dxEuIIF-xsYjHgg/edit?usp=sharing"",""งบกองทุน!El84"")"),147177)</f>
        <v>147177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9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9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IFERROR(__xludf.DUMMYFUNCTION("IMPORTRANGE(""https://docs.google.com/spreadsheets/d/1C3CXT74ZlgGe6_JY_1olB1XN4rF0dxEuIIF-xsYjHgg/edit?usp=sharing"",""งบกองทุน!Em84"")"),27)</f>
        <v>27</v>
      </c>
      <c r="J482" s="73">
        <f ca="1">IFERROR(__xludf.DUMMYFUNCTION("IMPORTRANGE(""https://docs.google.com/spreadsheets/d/1AGHcLOeeYFL3K4b9R1dSzyJy00PE_ra89DNTVfnxSWM/edit?usp=sharing"",""รวมที่ชุมชน!G73"")"),0)</f>
        <v>0</v>
      </c>
      <c r="K482" s="54">
        <f t="shared" ref="K482:K489" ca="1" si="111">IF(I482&gt;0,J482*100/I482,0)</f>
        <v>0</v>
      </c>
      <c r="L482" s="66"/>
      <c r="M482" s="66"/>
      <c r="N482" s="66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IFERROR(__xludf.DUMMYFUNCTION("IMPORTRANGE(""https://docs.google.com/spreadsheets/d/1AGHcLOeeYFL3K4b9R1dSzyJy00PE_ra89DNTVfnxSWM/edit?usp=sharing"",""รวมที่ชุมชน!H73"")"),0)</f>
        <v>0</v>
      </c>
      <c r="K483" s="54">
        <f t="shared" si="111"/>
        <v>0</v>
      </c>
      <c r="L483" s="66"/>
      <c r="M483" s="66"/>
      <c r="N483" s="66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IFERROR(__xludf.DUMMYFUNCTION("IMPORTRANGE(""https://docs.google.com/spreadsheets/d/1C3CXT74ZlgGe6_JY_1olB1XN4rF0dxEuIIF-xsYjHgg/edit?usp=sharing"",""งบกองทุน!Eo84"")"),27)</f>
        <v>27</v>
      </c>
      <c r="J484" s="73">
        <f ca="1">IFERROR(__xludf.DUMMYFUNCTION("IMPORTRANGE(""https://docs.google.com/spreadsheets/d/1AGHcLOeeYFL3K4b9R1dSzyJy00PE_ra89DNTVfnxSWM/edit?usp=sharing"",""รวมที่ชุมชน!J73"")"),0)</f>
        <v>0</v>
      </c>
      <c r="K484" s="54">
        <f t="shared" ca="1" si="111"/>
        <v>0</v>
      </c>
      <c r="L484" s="66"/>
      <c r="M484" s="66"/>
      <c r="N484" s="66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IFERROR(__xludf.DUMMYFUNCTION("IMPORTRANGE(""https://docs.google.com/spreadsheets/d/1AGHcLOeeYFL3K4b9R1dSzyJy00PE_ra89DNTVfnxSWM/edit?usp=sharing"",""รวมที่ชุมชน!L73"")"),0)</f>
        <v>0</v>
      </c>
      <c r="K485" s="54">
        <f t="shared" si="111"/>
        <v>0</v>
      </c>
      <c r="L485" s="66"/>
      <c r="M485" s="66"/>
      <c r="N485" s="66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IFERROR(__xludf.DUMMYFUNCTION("IMPORTRANGE(""https://docs.google.com/spreadsheets/d/1C3CXT74ZlgGe6_JY_1olB1XN4rF0dxEuIIF-xsYjHgg/edit?usp=sharing"",""งบกองทุน!Eq84"")"),27)</f>
        <v>27</v>
      </c>
      <c r="J486" s="73">
        <f ca="1">IFERROR(__xludf.DUMMYFUNCTION("IMPORTRANGE(""https://docs.google.com/spreadsheets/d/1AGHcLOeeYFL3K4b9R1dSzyJy00PE_ra89DNTVfnxSWM/edit?usp=sharing"",""รวมที่ชุมชน!S73"")"),0)</f>
        <v>0</v>
      </c>
      <c r="K486" s="54">
        <f t="shared" ca="1" si="111"/>
        <v>0</v>
      </c>
      <c r="L486" s="66"/>
      <c r="M486" s="66"/>
      <c r="N486" s="66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IFERROR(__xludf.DUMMYFUNCTION("IMPORTRANGE(""https://docs.google.com/spreadsheets/d/1AGHcLOeeYFL3K4b9R1dSzyJy00PE_ra89DNTVfnxSWM/edit?usp=sharing"",""รวมที่ชุมชน!U73"")"),0)</f>
        <v>0</v>
      </c>
      <c r="K487" s="54">
        <f t="shared" si="111"/>
        <v>0</v>
      </c>
      <c r="L487" s="66"/>
      <c r="M487" s="66"/>
      <c r="N487" s="66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IFERROR(__xludf.DUMMYFUNCTION("IMPORTRANGE(""https://docs.google.com/spreadsheets/d/1C3CXT74ZlgGe6_JY_1olB1XN4rF0dxEuIIF-xsYjHgg/edit?usp=sharing"",""งบกองทุน!Es84"")"),27)</f>
        <v>27</v>
      </c>
      <c r="J488" s="73">
        <f ca="1">IFERROR(__xludf.DUMMYFUNCTION("IMPORTRANGE(""https://docs.google.com/spreadsheets/d/1AGHcLOeeYFL3K4b9R1dSzyJy00PE_ra89DNTVfnxSWM/edit?usp=sharing"",""รวมที่ชุมชน!V73"")"),0)</f>
        <v>0</v>
      </c>
      <c r="K488" s="54">
        <f t="shared" ca="1" si="111"/>
        <v>0</v>
      </c>
      <c r="L488" s="66"/>
      <c r="M488" s="66"/>
      <c r="N488" s="66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IFERROR(__xludf.DUMMYFUNCTION("IMPORTRANGE(""https://docs.google.com/spreadsheets/d/1AGHcLOeeYFL3K4b9R1dSzyJy00PE_ra89DNTVfnxSWM/edit?usp=sharing"",""รวมที่ชุมชน!X73"")"),0)</f>
        <v>0</v>
      </c>
      <c r="K489" s="122">
        <f t="shared" si="111"/>
        <v>0</v>
      </c>
      <c r="L489" s="320"/>
      <c r="M489" s="320"/>
      <c r="N489" s="320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4550</v>
      </c>
      <c r="M490" s="277">
        <f>SUM(M491:M492)</f>
        <v>0</v>
      </c>
      <c r="N490" s="277">
        <f t="shared" ref="N490:N494" ca="1" si="113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4550</v>
      </c>
      <c r="M492" s="58">
        <f t="shared" si="114"/>
        <v>0</v>
      </c>
      <c r="N492" s="58">
        <f t="shared" ca="1" si="113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IFERROR(__xludf.DUMMYFUNCTION("IMPORTRANGE(""https://docs.google.com/spreadsheets/d/1C3CXT74ZlgGe6_JY_1olB1XN4rF0dxEuIIF-xsYjHgg/edit?usp=sharing"",""งบกองทุน!Ev84"")"),0)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IFERROR(__xludf.DUMMYFUNCTION("IMPORTRANGE(""https://docs.google.com/spreadsheets/d/1C3CXT74ZlgGe6_JY_1olB1XN4rF0dxEuIIF-xsYjHgg/edit?usp=sharing"",""งบกองทุน!Ew84"")"),4550)</f>
        <v>4550</v>
      </c>
      <c r="M494" s="58">
        <f>SUM(M495:M498)</f>
        <v>0</v>
      </c>
      <c r="N494" s="58">
        <f t="shared" ca="1" si="113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IFERROR(__xludf.DUMMYFUNCTION("IMPORTRANGE(""https://docs.google.com/spreadsheets/d/1C3CXT74ZlgGe6_JY_1olB1XN4rF0dxEuIIF-xsYjHgg/edit?usp=sharing"",""งบกองทุน!EZ84"")"),50)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IFERROR(__xludf.DUMMYFUNCTION("IMPORTRANGE(""https://docs.google.com/spreadsheets/d/1C3CXT74ZlgGe6_JY_1olB1XN4rF0dxEuIIF-xsYjHgg/edit?usp=sharing"",""งบกองทุน!ff84"")"),0)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IFERROR(__xludf.DUMMYFUNCTION("IMPORTRANGE(""https://docs.google.com/spreadsheets/d/1muirlRDkqiswvy_NRZ3Yh955hx-PF6_HhssUYiSJj8o/edit?usp=sharing"",""กองทุน!D84"")"),2169042.48999999)</f>
        <v>2169042.48999999</v>
      </c>
      <c r="J521" s="214">
        <f ca="1">IFERROR(__xludf.DUMMYFUNCTION("IMPORTRANGE(""https://docs.google.com/spreadsheets/d/1muirlRDkqiswvy_NRZ3Yh955hx-PF6_HhssUYiSJj8o/edit?usp=sharing"",""กองทุน!F84"")"),0)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IFERROR(__xludf.DUMMYFUNCTION("IMPORTRANGE(""https://docs.google.com/spreadsheets/d/1muirlRDkqiswvy_NRZ3Yh955hx-PF6_HhssUYiSJj8o/edit?usp=sharing"",""กองทุน!C84"")"),156)</f>
        <v>156</v>
      </c>
      <c r="J522" s="214">
        <f ca="1">IFERROR(__xludf.DUMMYFUNCTION("IMPORTRANGE(""https://docs.google.com/spreadsheets/d/1muirlRDkqiswvy_NRZ3Yh955hx-PF6_HhssUYiSJj8o/edit?usp=sharing"",""กองทุน!E84"")"),0)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IFERROR(__xludf.DUMMYFUNCTION("IMPORTRANGE(""https://docs.google.com/spreadsheets/d/1muirlRDkqiswvy_NRZ3Yh955hx-PF6_HhssUYiSJj8o/edit?usp=sharing"",""กองทุน!I84"")"),2464866.69)</f>
        <v>2464866.69</v>
      </c>
      <c r="J523" s="214">
        <f ca="1">IFERROR(__xludf.DUMMYFUNCTION("IMPORTRANGE(""https://docs.google.com/spreadsheets/d/1muirlRDkqiswvy_NRZ3Yh955hx-PF6_HhssUYiSJj8o/edit?usp=sharing"",""กองทุน!K84"")"),13691.99)</f>
        <v>13691.99</v>
      </c>
      <c r="K523" s="215">
        <f t="shared" ca="1" si="118"/>
        <v>0.55548602508803424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IFERROR(__xludf.DUMMYFUNCTION("IMPORTRANGE(""https://docs.google.com/spreadsheets/d/1muirlRDkqiswvy_NRZ3Yh955hx-PF6_HhssUYiSJj8o/edit?usp=sharing"",""กองทุน!H84"")"),105)</f>
        <v>105</v>
      </c>
      <c r="J524" s="214">
        <f ca="1">IFERROR(__xludf.DUMMYFUNCTION("IMPORTRANGE(""https://docs.google.com/spreadsheets/d/1muirlRDkqiswvy_NRZ3Yh955hx-PF6_HhssUYiSJj8o/edit?usp=sharing"",""กองทุน!J84"")"),8)</f>
        <v>8</v>
      </c>
      <c r="K524" s="215">
        <f t="shared" ca="1" si="118"/>
        <v>7.6190476190476186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IFERROR(__xludf.DUMMYFUNCTION("IMPORTRANGE(""https://docs.google.com/spreadsheets/d/1muirlRDkqiswvy_NRZ3Yh955hx-PF6_HhssUYiSJj8o/edit?usp=sharing"",""กองทุน!N84"")"),0)</f>
        <v>0</v>
      </c>
      <c r="J525" s="214">
        <f ca="1">IFERROR(__xludf.DUMMYFUNCTION("IMPORTRANGE(""https://docs.google.com/spreadsheets/d/1muirlRDkqiswvy_NRZ3Yh955hx-PF6_HhssUYiSJj8o/edit?usp=sharing"",""กองทุน!P84"")"),0)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IFERROR(__xludf.DUMMYFUNCTION("IMPORTRANGE(""https://docs.google.com/spreadsheets/d/1muirlRDkqiswvy_NRZ3Yh955hx-PF6_HhssUYiSJj8o/edit?usp=sharing"",""กองทุน!M84"")"),0)</f>
        <v>0</v>
      </c>
      <c r="J526" s="214">
        <f ca="1">IFERROR(__xludf.DUMMYFUNCTION("IMPORTRANGE(""https://docs.google.com/spreadsheets/d/1muirlRDkqiswvy_NRZ3Yh955hx-PF6_HhssUYiSJj8o/edit?usp=sharing"",""กองทุน!O84"")"),0)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IFERROR(__xludf.DUMMYFUNCTION("IMPORTRANGE(""https://docs.google.com/spreadsheets/d/1muirlRDkqiswvy_NRZ3Yh955hx-PF6_HhssUYiSJj8o/edit?usp=sharing"",""กองทุน!S84"")"),2000000)</f>
        <v>2000000</v>
      </c>
      <c r="J527" s="214">
        <f ca="1">IFERROR(__xludf.DUMMYFUNCTION("IMPORTRANGE(""https://docs.google.com/spreadsheets/d/1muirlRDkqiswvy_NRZ3Yh955hx-PF6_HhssUYiSJj8o/edit?usp=sharing"",""กองทุน!U84"")"),0)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IFERROR(__xludf.DUMMYFUNCTION("IMPORTRANGE(""https://docs.google.com/spreadsheets/d/1muirlRDkqiswvy_NRZ3Yh955hx-PF6_HhssUYiSJj8o/edit?usp=sharing"",""กองทุน!R84"")"),70)</f>
        <v>70</v>
      </c>
      <c r="J528" s="342">
        <f ca="1">IFERROR(__xludf.DUMMYFUNCTION("IMPORTRANGE(""https://docs.google.com/spreadsheets/d/1muirlRDkqiswvy_NRZ3Yh955hx-PF6_HhssUYiSJj8o/edit?usp=sharing"",""กองทุน!T84"")"),0)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G20" sqref="G20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785645</v>
      </c>
      <c r="M6" s="18">
        <f t="shared" si="0"/>
        <v>36110</v>
      </c>
      <c r="N6" s="19">
        <f ca="1">IF(L6&gt;0,M6*100/L6,0)</f>
        <v>4.5962234851618735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IFERROR(__xludf.DUMMYFUNCTION("IMPORTRANGE(""https://docs.google.com/spreadsheets/d/1C3CXT74ZlgGe6_JY_1olB1XN4rF0dxEuIIF-xsYjHgg/edit?usp=sharing"",""พรบ!C85"")"),0)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IFERROR(__xludf.DUMMYFUNCTION("IMPORTRANGE(""https://docs.google.com/spreadsheets/d/1C3CXT74ZlgGe6_JY_1olB1XN4rF0dxEuIIF-xsYjHgg/edit?usp=sharing"",""พรบ!D85"")"),0)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IFERROR(__xludf.DUMMYFUNCTION("IMPORTRANGE(""https://docs.google.com/spreadsheets/d/1C3CXT74ZlgGe6_JY_1olB1XN4rF0dxEuIIF-xsYjHgg/edit?usp=sharing"",""พรบ!E85"")"),0)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IFERROR(__xludf.DUMMYFUNCTION("IMPORTRANGE(""https://docs.google.com/spreadsheets/d/1C3CXT74ZlgGe6_JY_1olB1XN4rF0dxEuIIF-xsYjHgg/edit?usp=sharing"",""พรบ!H85"")"),0)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IFERROR(__xludf.DUMMYFUNCTION("IMPORTRANGE(""https://docs.google.com/spreadsheets/d/1C3CXT74ZlgGe6_JY_1olB1XN4rF0dxEuIIF-xsYjHgg/edit?usp=sharing"",""พรบ!I85"")"),0)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IFERROR(__xludf.DUMMYFUNCTION("IMPORTRANGE(""https://docs.google.com/spreadsheets/d/1C3CXT74ZlgGe6_JY_1olB1XN4rF0dxEuIIF-xsYjHgg/edit?usp=sharing"",""พรบ!J85"")"),0)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IFERROR(__xludf.DUMMYFUNCTION("IMPORTRANGE(""https://docs.google.com/spreadsheets/d/1C3CXT74ZlgGe6_JY_1olB1XN4rF0dxEuIIF-xsYjHgg/edit?usp=sharing"",""พรบ!K85"")"),0)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IFERROR(__xludf.DUMMYFUNCTION("IMPORTRANGE(""https://docs.google.com/spreadsheets/d/1C3CXT74ZlgGe6_JY_1olB1XN4rF0dxEuIIF-xsYjHgg/edit?usp=sharing"",""พรบ!L85"")"),0)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IFERROR(__xludf.DUMMYFUNCTION("IMPORTRANGE(""https://docs.google.com/spreadsheets/d/1C3CXT74ZlgGe6_JY_1olB1XN4rF0dxEuIIF-xsYjHgg/edit?usp=sharing"",""พรบ!M85"")"),0)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IFERROR(__xludf.DUMMYFUNCTION("IMPORTRANGE(""https://docs.google.com/spreadsheets/d/1C3CXT74ZlgGe6_JY_1olB1XN4rF0dxEuIIF-xsYjHgg/edit?usp=sharing"",""พรบ!N85"")"),0)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IFERROR(__xludf.DUMMYFUNCTION("IMPORTRANGE(""https://docs.google.com/spreadsheets/d/1C3CXT74ZlgGe6_JY_1olB1XN4rF0dxEuIIF-xsYjHgg/edit?usp=sharing"",""พรบ!O85"")"),0)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IFERROR(__xludf.DUMMYFUNCTION("IMPORTRANGE(""https://docs.google.com/spreadsheets/d/1C3CXT74ZlgGe6_JY_1olB1XN4rF0dxEuIIF-xsYjHgg/edit?usp=sharing"",""พรบ!P85"")"),0)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IFERROR(__xludf.DUMMYFUNCTION("IMPORTRANGE(""https://docs.google.com/spreadsheets/d/1C3CXT74ZlgGe6_JY_1olB1XN4rF0dxEuIIF-xsYjHgg/edit?usp=sharing"",""พรบ!Q85"")"),0)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IFERROR(__xludf.DUMMYFUNCTION("IMPORTRANGE(""https://docs.google.com/spreadsheets/d/1C3CXT74ZlgGe6_JY_1olB1XN4rF0dxEuIIF-xsYjHgg/edit?usp=sharing"",""พรบ!R85"")"),0)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IFERROR(__xludf.DUMMYFUNCTION("IMPORTRANGE(""https://docs.google.com/spreadsheets/d/1C3CXT74ZlgGe6_JY_1olB1XN4rF0dxEuIIF-xsYjHgg/edit?usp=sharing"",""พรบ!S85"")"),0)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IFERROR(__xludf.DUMMYFUNCTION("IMPORTRANGE(""https://docs.google.com/spreadsheets/d/1C3CXT74ZlgGe6_JY_1olB1XN4rF0dxEuIIF-xsYjHgg/edit?usp=sharing"",""พรบ!T85"")"),0)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IFERROR(__xludf.DUMMYFUNCTION("IMPORTRANGE(""https://docs.google.com/spreadsheets/d/1C3CXT74ZlgGe6_JY_1olB1XN4rF0dxEuIIF-xsYjHgg/edit?usp=sharing"",""พรบ!U85"")"),0)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IFERROR(__xludf.DUMMYFUNCTION("IMPORTRANGE(""https://docs.google.com/spreadsheets/d/1C3CXT74ZlgGe6_JY_1olB1XN4rF0dxEuIIF-xsYjHgg/edit?usp=sharing"",""พรบ!V85"")"),0)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IFERROR(__xludf.DUMMYFUNCTION("IMPORTRANGE(""https://docs.google.com/spreadsheets/d/1C3CXT74ZlgGe6_JY_1olB1XN4rF0dxEuIIF-xsYjHgg/edit?usp=sharing"",""พรบ!W85"")"),0)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IFERROR(__xludf.DUMMYFUNCTION("IMPORTRANGE(""https://docs.google.com/spreadsheets/d/1C3CXT74ZlgGe6_JY_1olB1XN4rF0dxEuIIF-xsYjHgg/edit?usp=sharing"",""พรบ!Y85"")"),0)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IFERROR(__xludf.DUMMYFUNCTION("IMPORTRANGE(""https://docs.google.com/spreadsheets/d/1C3CXT74ZlgGe6_JY_1olB1XN4rF0dxEuIIF-xsYjHgg/edit?usp=sharing"",""พรบ!Z85"")"),0)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IFERROR(__xludf.DUMMYFUNCTION("IMPORTRANGE(""https://docs.google.com/spreadsheets/d/1C3CXT74ZlgGe6_JY_1olB1XN4rF0dxEuIIF-xsYjHgg/edit?usp=sharing"",""พรบ!AA85"")"),0)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43000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43000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IFERROR(__xludf.DUMMYFUNCTION("IMPORTRANGE(""https://docs.google.com/spreadsheets/d/1C3CXT74ZlgGe6_JY_1olB1XN4rF0dxEuIIF-xsYjHgg/edit?usp=sharing"",""พรบ!AD85"")"),0)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43000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IFERROR(__xludf.DUMMYFUNCTION("IMPORTRANGE(""https://docs.google.com/spreadsheets/d/1C3CXT74ZlgGe6_JY_1olB1XN4rF0dxEuIIF-xsYjHgg/edit?usp=sharing"",""พรบ!AF85"")"),7500)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IFERROR(__xludf.DUMMYFUNCTION("IMPORTRANGE(""https://docs.google.com/spreadsheets/d/1C3CXT74ZlgGe6_JY_1olB1XN4rF0dxEuIIF-xsYjHgg/edit?usp=sharing"",""พรบ!AG85"")"),4)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IFERROR(__xludf.DUMMYFUNCTION("IMPORTRANGE(""https://docs.google.com/spreadsheets/d/1C3CXT74ZlgGe6_JY_1olB1XN4rF0dxEuIIF-xsYjHgg/edit?usp=sharing"",""พรบ!AH85"")"),28000)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IFERROR(__xludf.DUMMYFUNCTION("IMPORTRANGE(""https://docs.google.com/spreadsheets/d/1C3CXT74ZlgGe6_JY_1olB1XN4rF0dxEuIIF-xsYjHgg/edit?usp=sharing"",""พรบ!AI85"")"),2)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IFERROR(__xludf.DUMMYFUNCTION("IMPORTRANGE(""https://docs.google.com/spreadsheets/d/1C3CXT74ZlgGe6_JY_1olB1XN4rF0dxEuIIF-xsYjHgg/edit?usp=sharing"",""กปร!C85"")"),24000)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IFERROR(__xludf.DUMMYFUNCTION("IMPORTRANGE(""https://docs.google.com/spreadsheets/d/1C3CXT74ZlgGe6_JY_1olB1XN4rF0dxEuIIF-xsYjHgg/edit?usp=sharing"",""พรบ!AJ85"")"),0)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IFERROR(__xludf.DUMMYFUNCTION("IMPORTRANGE(""https://docs.google.com/spreadsheets/d/1C3CXT74ZlgGe6_JY_1olB1XN4rF0dxEuIIF-xsYjHgg/edit?usp=sharing"",""พรบ!AK85"")"),0)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IFERROR(__xludf.DUMMYFUNCTION("IMPORTRANGE(""https://docs.google.com/spreadsheets/d/1C3CXT74ZlgGe6_JY_1olB1XN4rF0dxEuIIF-xsYjHgg/edit?usp=sharing"",""กปร!D85"")"),0)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IFERROR(__xludf.DUMMYFUNCTION("IMPORTRANGE(""https://docs.google.com/spreadsheets/d/1C3CXT74ZlgGe6_JY_1olB1XN4rF0dxEuIIF-xsYjHgg/edit?usp=sharing"",""พรบ!AL85"")"),0)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IFERROR(__xludf.DUMMYFUNCTION("IMPORTRANGE(""https://docs.google.com/spreadsheets/d/1C3CXT74ZlgGe6_JY_1olB1XN4rF0dxEuIIF-xsYjHgg/edit?usp=sharing"",""กปร!E85"")"),0)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7500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IFERROR(__xludf.DUMMYFUNCTION("IMPORTRANGE(""https://docs.google.com/spreadsheets/d/1C3CXT74ZlgGe6_JY_1olB1XN4rF0dxEuIIF-xsYjHgg/edit?usp=sharing"",""พรบ!AM85"")"),7500)</f>
        <v>7500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IFERROR(__xludf.DUMMYFUNCTION("IMPORTRANGE(""https://docs.google.com/spreadsheets/d/1C3CXT74ZlgGe6_JY_1olB1XN4rF0dxEuIIF-xsYjHgg/edit?usp=sharing"",""พรบ!AO85"")"),10000)</f>
        <v>10000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IFERROR(__xludf.DUMMYFUNCTION("IMPORTRANGE(""https://docs.google.com/spreadsheets/d/1C3CXT74ZlgGe6_JY_1olB1XN4rF0dxEuIIF-xsYjHgg/edit?usp=sharing"",""พรบ!AP85"")"),10000)</f>
        <v>10000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IFERROR(__xludf.DUMMYFUNCTION("IMPORTRANGE(""https://docs.google.com/spreadsheets/d/1C3CXT74ZlgGe6_JY_1olB1XN4rF0dxEuIIF-xsYjHgg/edit?usp=sharing"",""กปร!F85"")"),3500)</f>
        <v>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IFERROR(__xludf.DUMMYFUNCTION("IMPORTRANGE(""https://docs.google.com/spreadsheets/d/1C3CXT74ZlgGe6_JY_1olB1XN4rF0dxEuIIF-xsYjHgg/edit?usp=sharing"",""พรบ!AQ85"")"),0)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IFERROR(__xludf.DUMMYFUNCTION("IMPORTRANGE(""https://docs.google.com/spreadsheets/d/1C3CXT74ZlgGe6_JY_1olB1XN4rF0dxEuIIF-xsYjHgg/edit?usp=sharing"",""กปร!G85"")"),0)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IFERROR(__xludf.DUMMYFUNCTION("IMPORTRANGE(""https://docs.google.com/spreadsheets/d/1C3CXT74ZlgGe6_JY_1olB1XN4rF0dxEuIIF-xsYjHgg/edit?usp=sharing"",""พรบ!AR85"")"),0)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IFERROR(__xludf.DUMMYFUNCTION("IMPORTRANGE(""https://docs.google.com/spreadsheets/d/1C3CXT74ZlgGe6_JY_1olB1XN4rF0dxEuIIF-xsYjHgg/edit?usp=sharing"",""พรบ!AS85"")"),0)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IFERROR(__xludf.DUMMYFUNCTION("IMPORTRANGE(""https://docs.google.com/spreadsheets/d/1C3CXT74ZlgGe6_JY_1olB1XN4rF0dxEuIIF-xsYjHgg/edit?usp=sharing"",""กปร!H85"")"),0)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IFERROR(__xludf.DUMMYFUNCTION("IMPORTRANGE(""https://docs.google.com/spreadsheets/d/1C3CXT74ZlgGe6_JY_1olB1XN4rF0dxEuIIF-xsYjHgg/edit?usp=sharing"",""พรบ!AT85"")"),0)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IFERROR(__xludf.DUMMYFUNCTION("IMPORTRANGE(""https://docs.google.com/spreadsheets/d/1C3CXT74ZlgGe6_JY_1olB1XN4rF0dxEuIIF-xsYjHgg/edit?usp=sharing"",""กปร!I85"")"),0)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IFERROR(__xludf.DUMMYFUNCTION("IMPORTRANGE(""https://docs.google.com/spreadsheets/d/1C3CXT74ZlgGe6_JY_1olB1XN4rF0dxEuIIF-xsYjHgg/edit?usp=sharing"",""พรบ!AU85"")"),0)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IFERROR(__xludf.DUMMYFUNCTION("IMPORTRANGE(""https://docs.google.com/spreadsheets/d/1C3CXT74ZlgGe6_JY_1olB1XN4rF0dxEuIIF-xsYjHgg/edit?usp=sharing"",""กปร!J85"")"),0)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IFERROR(__xludf.DUMMYFUNCTION("IMPORTRANGE(""https://docs.google.com/spreadsheets/d/1C3CXT74ZlgGe6_JY_1olB1XN4rF0dxEuIIF-xsYjHgg/edit?usp=sharing"",""พรบ!AY85"")"),21125)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IFERROR(__xludf.DUMMYFUNCTION("IMPORTRANGE(""https://docs.google.com/spreadsheets/d/1C3CXT74ZlgGe6_JY_1olB1XN4rF0dxEuIIF-xsYjHgg/edit?usp=sharing"",""พรบ!BA85"")"),15)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IFERROR(__xludf.DUMMYFUNCTION("IMPORTRANGE(""https://docs.google.com/spreadsheets/d/1C3CXT74ZlgGe6_JY_1olB1XN4rF0dxEuIIF-xsYjHgg/edit?usp=sharing"",""พรบ!BD85"")"),0)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IFERROR(__xludf.DUMMYFUNCTION("IMPORTRANGE(""https://docs.google.com/spreadsheets/d/1C3CXT74ZlgGe6_JY_1olB1XN4rF0dxEuIIF-xsYjHgg/edit?usp=sharing"",""พรบ!BE85"")"),0)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IFERROR(__xludf.DUMMYFUNCTION("IMPORTRANGE(""https://docs.google.com/spreadsheets/d/1C3CXT74ZlgGe6_JY_1olB1XN4rF0dxEuIIF-xsYjHgg/edit?usp=sharing"",""พรบ!BF85"")"),0)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IFERROR(__xludf.DUMMYFUNCTION("IMPORTRANGE(""https://docs.google.com/spreadsheets/d/1C3CXT74ZlgGe6_JY_1olB1XN4rF0dxEuIIF-xsYjHgg/edit?usp=sharing"",""พรบ!BG85"")"),0)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IFERROR(__xludf.DUMMYFUNCTION("IMPORTRANGE(""https://docs.google.com/spreadsheets/d/1C3CXT74ZlgGe6_JY_1olB1XN4rF0dxEuIIF-xsYjHgg/edit?usp=sharing"",""พรบ!BH85"")"),0)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IFERROR(__xludf.DUMMYFUNCTION("IMPORTRANGE(""https://docs.google.com/spreadsheets/d/1C3CXT74ZlgGe6_JY_1olB1XN4rF0dxEuIIF-xsYjHgg/edit?usp=sharing"",""พรบ!BI85"")"),0)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IFERROR(__xludf.DUMMYFUNCTION("IMPORTRANGE(""https://docs.google.com/spreadsheets/d/1C3CXT74ZlgGe6_JY_1olB1XN4rF0dxEuIIF-xsYjHgg/edit?usp=sharing"",""พรบ!BK85"")"),0)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IFERROR(__xludf.DUMMYFUNCTION("IMPORTRANGE(""https://docs.google.com/spreadsheets/d/1C3CXT74ZlgGe6_JY_1olB1XN4rF0dxEuIIF-xsYjHgg/edit?usp=sharing"",""พรบ!BL85"")"),0)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IFERROR(__xludf.DUMMYFUNCTION("IMPORTRANGE(""https://docs.google.com/spreadsheets/d/1C3CXT74ZlgGe6_JY_1olB1XN4rF0dxEuIIF-xsYjHgg/edit?usp=sharing"",""พรบ!BM85"")"),0)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IFERROR(__xludf.DUMMYFUNCTION("IMPORTRANGE(""https://docs.google.com/spreadsheets/d/1C3CXT74ZlgGe6_JY_1olB1XN4rF0dxEuIIF-xsYjHgg/edit?usp=sharing"",""พรบ!BP85"")"),0)</f>
        <v>0</v>
      </c>
      <c r="M203" s="58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IFERROR(__xludf.DUMMYFUNCTION("IMPORTRANGE(""https://docs.google.com/spreadsheets/d/1C3CXT74ZlgGe6_JY_1olB1XN4rF0dxEuIIF-xsYjHgg/edit?usp=sharing"",""พรบ!BQ85"")"),0)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IFERROR(__xludf.DUMMYFUNCTION("IMPORTRANGE(""https://docs.google.com/spreadsheets/d/1C3CXT74ZlgGe6_JY_1olB1XN4rF0dxEuIIF-xsYjHgg/edit?usp=sharing"",""พรบ!BR85"")"),0)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IFERROR(__xludf.DUMMYFUNCTION("IMPORTRANGE(""https://docs.google.com/spreadsheets/d/1C3CXT74ZlgGe6_JY_1olB1XN4rF0dxEuIIF-xsYjHgg/edit?usp=sharing"",""พรบ!BU85"")"),0)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IFERROR(__xludf.DUMMYFUNCTION("IMPORTRANGE(""https://docs.google.com/spreadsheets/d/1C3CXT74ZlgGe6_JY_1olB1XN4rF0dxEuIIF-xsYjHgg/edit?usp=sharing"",""พรบ!BV85"")"),0)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65</v>
      </c>
      <c r="J228" s="212">
        <f ca="1">J240</f>
        <v>0</v>
      </c>
      <c r="K228" s="192">
        <f ca="1">IF(I228&gt;0,J228*100/I228,0)</f>
        <v>0</v>
      </c>
      <c r="L228" s="193">
        <f ca="1">L229+L230</f>
        <v>721520</v>
      </c>
      <c r="M228" s="193">
        <f>SUM(M229:M230)</f>
        <v>36110</v>
      </c>
      <c r="N228" s="192">
        <f ca="1">IF(L228&gt;0,M228*100/L228,0)</f>
        <v>5.0047122740880363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721520</v>
      </c>
      <c r="M230" s="58">
        <f t="shared" si="51"/>
        <v>36110</v>
      </c>
      <c r="N230" s="58">
        <f t="shared" ca="1" si="50"/>
        <v>5.0047122740880363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IFERROR(__xludf.DUMMYFUNCTION("IMPORTRANGE(""https://docs.google.com/spreadsheets/d/1C3CXT74ZlgGe6_JY_1olB1XN4rF0dxEuIIF-xsYjHgg/edit?usp=sharing"",""พรบ!BX85"")"),506800)</f>
        <v>506800</v>
      </c>
      <c r="M231" s="59">
        <v>36110</v>
      </c>
      <c r="N231" s="58">
        <f t="shared" ca="1" si="50"/>
        <v>7.12509865824783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IFERROR(__xludf.DUMMYFUNCTION("IMPORTRANGE(""https://docs.google.com/spreadsheets/d/1C3CXT74ZlgGe6_JY_1olB1XN4rF0dxEuIIF-xsYjHgg/edit?usp=sharing"",""พรบ!BY85"")"),214720)</f>
        <v>214720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IFERROR(__xludf.DUMMYFUNCTION("IMPORTRANGE(""https://docs.google.com/spreadsheets/d/1AGHcLOeeYFL3K4b9R1dSzyJy00PE_ra89DNTVfnxSWM/edit?usp=sharing"",""รวมที่ทำกิน!J74"")"),0)</f>
        <v>0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103</v>
      </c>
      <c r="I235" s="73">
        <f ca="1">IFERROR(__xludf.DUMMYFUNCTION("IMPORTRANGE(""https://docs.google.com/spreadsheets/d/1C3CXT74ZlgGe6_JY_1olB1XN4rF0dxEuIIF-xsYjHgg/edit?usp=sharing"",""พรบ!BZ85"")"),165)</f>
        <v>165</v>
      </c>
      <c r="J235" s="73">
        <f ca="1">IFERROR(__xludf.DUMMYFUNCTION("IMPORTRANGE(""https://docs.google.com/spreadsheets/d/1AGHcLOeeYFL3K4b9R1dSzyJy00PE_ra89DNTVfnxSWM/edit?usp=sharing"",""รวมที่ทำกิน!L74"")"),0)</f>
        <v>0</v>
      </c>
      <c r="K235" s="215">
        <f t="shared" ca="1" si="52"/>
        <v>0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IFERROR(__xludf.DUMMYFUNCTION("IMPORTRANGE(""https://docs.google.com/spreadsheets/d/1C3CXT74ZlgGe6_JY_1olB1XN4rF0dxEuIIF-xsYjHgg/edit?usp=sharing"",""พรบ!CA85"")"),65)</f>
        <v>65</v>
      </c>
      <c r="J236" s="73">
        <f ca="1">IFERROR(__xludf.DUMMYFUNCTION("IMPORTRANGE(""https://docs.google.com/spreadsheets/d/1AGHcLOeeYFL3K4b9R1dSzyJy00PE_ra89DNTVfnxSWM/edit?usp=sharing"",""รวมที่ทำกิน!O74"")"),0)</f>
        <v>0</v>
      </c>
      <c r="K236" s="215">
        <f t="shared" ca="1" si="52"/>
        <v>0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IFERROR(__xludf.DUMMYFUNCTION("IMPORTRANGE(""https://docs.google.com/spreadsheets/d/1AGHcLOeeYFL3K4b9R1dSzyJy00PE_ra89DNTVfnxSWM/edit?usp=sharing"",""รวมที่ทำกิน!Q74"")"),0)</f>
        <v>0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IFERROR(__xludf.DUMMYFUNCTION("IMPORTRANGE(""https://docs.google.com/spreadsheets/d/1C3CXT74ZlgGe6_JY_1olB1XN4rF0dxEuIIF-xsYjHgg/edit?usp=sharing"",""พรบ!CB85"")"),65)</f>
        <v>65</v>
      </c>
      <c r="J238" s="73">
        <f ca="1">IFERROR(__xludf.DUMMYFUNCTION("IMPORTRANGE(""https://docs.google.com/spreadsheets/d/1AGHcLOeeYFL3K4b9R1dSzyJy00PE_ra89DNTVfnxSWM/edit?usp=sharing"",""รวมที่ทำกิน!S74"")"),0)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IFERROR(__xludf.DUMMYFUNCTION("IMPORTRANGE(""https://docs.google.com/spreadsheets/d/1AGHcLOeeYFL3K4b9R1dSzyJy00PE_ra89DNTVfnxSWM/edit?usp=sharing"",""รวมที่ทำกิน!U74"")"),0)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IFERROR(__xludf.DUMMYFUNCTION("IMPORTRANGE(""https://docs.google.com/spreadsheets/d/1C3CXT74ZlgGe6_JY_1olB1XN4rF0dxEuIIF-xsYjHgg/edit?usp=sharing"",""พรบ!CC85"")"),65)</f>
        <v>65</v>
      </c>
      <c r="J240" s="73">
        <f ca="1">IFERROR(__xludf.DUMMYFUNCTION("IMPORTRANGE(""https://docs.google.com/spreadsheets/d/1AGHcLOeeYFL3K4b9R1dSzyJy00PE_ra89DNTVfnxSWM/edit?usp=sharing"",""รวมที่ทำกิน!W74"")"),0)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IFERROR(__xludf.DUMMYFUNCTION("IMPORTRANGE(""https://docs.google.com/spreadsheets/d/1AGHcLOeeYFL3K4b9R1dSzyJy00PE_ra89DNTVfnxSWM/edit?usp=sharing"",""รวมที่ทำกิน!Y74"")"),0)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612708</v>
      </c>
      <c r="M242" s="230">
        <f t="shared" si="53"/>
        <v>39880</v>
      </c>
      <c r="N242" s="230">
        <f ca="1">+IF(L242&gt;0,M242*100/L242,0)</f>
        <v>6.5088100693968416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0</v>
      </c>
      <c r="M244" s="246">
        <f t="shared" si="56"/>
        <v>0</v>
      </c>
      <c r="N244" s="246">
        <f ca="1">+IF(L244&gt;0,M244*100/L244,0)</f>
        <v>0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0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73" t="s">
        <v>21</v>
      </c>
      <c r="J246" s="73"/>
      <c r="K246" s="250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73"/>
      <c r="J247" s="73"/>
      <c r="K247" s="250"/>
      <c r="L247" s="55">
        <f t="shared" ref="L247:M247" ca="1" si="59">SUM(L248:L249)</f>
        <v>0</v>
      </c>
      <c r="M247" s="55">
        <f t="shared" si="59"/>
        <v>0</v>
      </c>
      <c r="N247" s="55">
        <f t="shared" ca="1" si="58"/>
        <v>0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73"/>
      <c r="J248" s="73"/>
      <c r="K248" s="250"/>
      <c r="L248" s="58">
        <f ca="1">IFERROR(__xludf.DUMMYFUNCTION("IMPORTRANGE(""https://docs.google.com/spreadsheets/d/1C3CXT74ZlgGe6_JY_1olB1XN4rF0dxEuIIF-xsYjHgg/edit?usp=sharing"",""งบกองทุน!d85"")"),0)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73"/>
      <c r="J249" s="73"/>
      <c r="K249" s="250"/>
      <c r="L249" s="58">
        <f ca="1">IFERROR(__xludf.DUMMYFUNCTION("IMPORTRANGE(""https://docs.google.com/spreadsheets/d/1C3CXT74ZlgGe6_JY_1olB1XN4rF0dxEuIIF-xsYjHgg/edit?usp=sharing"",""งบกองทุน!e85"")"),0)</f>
        <v>0</v>
      </c>
      <c r="M249" s="58">
        <f>SUM(M250:M253)</f>
        <v>0</v>
      </c>
      <c r="N249" s="58">
        <f t="shared" ca="1" si="58"/>
        <v>0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8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8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8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8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73"/>
      <c r="J254" s="73"/>
      <c r="K254" s="250"/>
      <c r="L254" s="58"/>
      <c r="M254" s="58"/>
      <c r="N254" s="58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3">
        <v>0</v>
      </c>
      <c r="K255" s="250"/>
      <c r="L255" s="58"/>
      <c r="M255" s="58"/>
      <c r="N255" s="58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3">
        <v>0</v>
      </c>
      <c r="K256" s="250"/>
      <c r="L256" s="58" t="s">
        <v>21</v>
      </c>
      <c r="M256" s="58" t="s">
        <v>21</v>
      </c>
      <c r="N256" s="58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3">
        <v>0</v>
      </c>
      <c r="K257" s="250"/>
      <c r="L257" s="58"/>
      <c r="M257" s="58"/>
      <c r="N257" s="58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3">
        <v>0</v>
      </c>
      <c r="K258" s="250"/>
      <c r="L258" s="58"/>
      <c r="M258" s="58"/>
      <c r="N258" s="58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250"/>
      <c r="L259" s="58"/>
      <c r="M259" s="58"/>
      <c r="N259" s="58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IFERROR(__xludf.DUMMYFUNCTION("IMPORTRANGE(""https://docs.google.com/spreadsheets/d/1C3CXT74ZlgGe6_JY_1olB1XN4rF0dxEuIIF-xsYjHgg/edit?usp=sharing"",""งบกองทุน!f85"")"),0)</f>
        <v>0</v>
      </c>
      <c r="J260" s="73">
        <v>0</v>
      </c>
      <c r="K260" s="250">
        <f ca="1">IF(I260&gt;0,J260*100/I260,0)</f>
        <v>0</v>
      </c>
      <c r="L260" s="58"/>
      <c r="M260" s="58"/>
      <c r="N260" s="58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73"/>
      <c r="J261" s="73"/>
      <c r="K261" s="250"/>
      <c r="L261" s="58"/>
      <c r="M261" s="58"/>
      <c r="N261" s="58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0</v>
      </c>
      <c r="J262" s="73">
        <f t="shared" si="60"/>
        <v>0</v>
      </c>
      <c r="K262" s="250">
        <f t="shared" ref="K262:K268" ca="1" si="61">IF(I262&gt;0,J262*100/I262,0)</f>
        <v>0</v>
      </c>
      <c r="L262" s="58"/>
      <c r="M262" s="58"/>
      <c r="N262" s="58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73">
        <f ca="1">IFERROR(__xludf.DUMMYFUNCTION("IMPORTRANGE(""https://docs.google.com/spreadsheets/d/1C3CXT74ZlgGe6_JY_1olB1XN4rF0dxEuIIF-xsYjHgg/edit?usp=sharing"",""งบกองทุน!H85"")"),0)</f>
        <v>0</v>
      </c>
      <c r="J263" s="73">
        <f>J267</f>
        <v>0</v>
      </c>
      <c r="K263" s="250">
        <f t="shared" ca="1" si="61"/>
        <v>0</v>
      </c>
      <c r="L263" s="58"/>
      <c r="M263" s="58"/>
      <c r="N263" s="58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73">
        <f ca="1">IFERROR(__xludf.DUMMYFUNCTION("IMPORTRANGE(""https://docs.google.com/spreadsheets/d/1C3CXT74ZlgGe6_JY_1olB1XN4rF0dxEuIIF-xsYjHgg/edit?usp=sharing"",""งบกองทุน!i85"")"),0)</f>
        <v>0</v>
      </c>
      <c r="J264" s="73">
        <v>0</v>
      </c>
      <c r="K264" s="250">
        <f t="shared" ca="1" si="61"/>
        <v>0</v>
      </c>
      <c r="L264" s="58"/>
      <c r="M264" s="58"/>
      <c r="N264" s="58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73">
        <f ca="1">I263</f>
        <v>0</v>
      </c>
      <c r="J265" s="73">
        <v>0</v>
      </c>
      <c r="K265" s="250">
        <f t="shared" ca="1" si="61"/>
        <v>0</v>
      </c>
      <c r="L265" s="58"/>
      <c r="M265" s="58"/>
      <c r="N265" s="58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73">
        <f ca="1">IFERROR(__xludf.DUMMYFUNCTION("IMPORTRANGE(""https://docs.google.com/spreadsheets/d/1C3CXT74ZlgGe6_JY_1olB1XN4rF0dxEuIIF-xsYjHgg/edit?usp=sharing"",""งบกองทุน!k85"")"),0)</f>
        <v>0</v>
      </c>
      <c r="J266" s="73">
        <v>0</v>
      </c>
      <c r="K266" s="250">
        <f t="shared" ca="1" si="61"/>
        <v>0</v>
      </c>
      <c r="L266" s="58"/>
      <c r="M266" s="58"/>
      <c r="N266" s="58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73">
        <f ca="1">I263</f>
        <v>0</v>
      </c>
      <c r="J267" s="73">
        <v>0</v>
      </c>
      <c r="K267" s="250">
        <f t="shared" ca="1" si="61"/>
        <v>0</v>
      </c>
      <c r="L267" s="58"/>
      <c r="M267" s="58"/>
      <c r="N267" s="58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IFERROR(__xludf.DUMMYFUNCTION("IMPORTRANGE(""https://docs.google.com/spreadsheets/d/1C3CXT74ZlgGe6_JY_1olB1XN4rF0dxEuIIF-xsYjHgg/edit?usp=sharing"",""งบกองทุน!m85"")"),0)</f>
        <v>0</v>
      </c>
      <c r="J268" s="73">
        <v>0</v>
      </c>
      <c r="K268" s="250">
        <f t="shared" ca="1" si="61"/>
        <v>0</v>
      </c>
      <c r="L268" s="58"/>
      <c r="M268" s="58"/>
      <c r="N268" s="58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250"/>
      <c r="L269" s="58"/>
      <c r="M269" s="58"/>
      <c r="N269" s="58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0</v>
      </c>
      <c r="J270" s="73">
        <f t="shared" si="62"/>
        <v>0</v>
      </c>
      <c r="K270" s="250">
        <f t="shared" ref="K270:K272" ca="1" si="63">IF(I270&gt;0,J270*100/I270,0)</f>
        <v>0</v>
      </c>
      <c r="L270" s="58"/>
      <c r="M270" s="58"/>
      <c r="N270" s="58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IFERROR(__xludf.DUMMYFUNCTION("IMPORTRANGE(""https://docs.google.com/spreadsheets/d/1C3CXT74ZlgGe6_JY_1olB1XN4rF0dxEuIIF-xsYjHgg/edit?usp=sharing"",""งบกองทุน!o85"")"),0)</f>
        <v>0</v>
      </c>
      <c r="J271" s="73">
        <v>0</v>
      </c>
      <c r="K271" s="250">
        <f t="shared" ca="1" si="63"/>
        <v>0</v>
      </c>
      <c r="L271" s="58"/>
      <c r="M271" s="58"/>
      <c r="N271" s="58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IFERROR(__xludf.DUMMYFUNCTION("IMPORTRANGE(""https://docs.google.com/spreadsheets/d/1C3CXT74ZlgGe6_JY_1olB1XN4rF0dxEuIIF-xsYjHgg/edit?usp=sharing"",""งบกองทุน!p85"")"),0)</f>
        <v>0</v>
      </c>
      <c r="J272" s="73">
        <v>0</v>
      </c>
      <c r="K272" s="250">
        <f t="shared" ca="1" si="63"/>
        <v>0</v>
      </c>
      <c r="L272" s="58"/>
      <c r="M272" s="58"/>
      <c r="N272" s="58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3">
        <v>0</v>
      </c>
      <c r="K273" s="250"/>
      <c r="L273" s="58"/>
      <c r="M273" s="58"/>
      <c r="N273" s="58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380">
        <v>0</v>
      </c>
      <c r="K274" s="250"/>
      <c r="L274" s="58"/>
      <c r="M274" s="58"/>
      <c r="N274" s="58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100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127660</v>
      </c>
      <c r="M275" s="246">
        <f t="shared" si="65"/>
        <v>740</v>
      </c>
      <c r="N275" s="246">
        <f ca="1">+IF(L275&gt;0,M275*100/L275,0)</f>
        <v>0.57966473445088518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10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127660</v>
      </c>
      <c r="M278" s="55">
        <f t="shared" si="67"/>
        <v>740</v>
      </c>
      <c r="N278" s="55">
        <f t="shared" ca="1" si="66"/>
        <v>0.57966473445088518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IFERROR(__xludf.DUMMYFUNCTION("IMPORTRANGE(""https://docs.google.com/spreadsheets/d/1C3CXT74ZlgGe6_JY_1olB1XN4rF0dxEuIIF-xsYjHgg/edit?usp=sharing"",""งบกองทุน!r85"")"),0)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IFERROR(__xludf.DUMMYFUNCTION("IMPORTRANGE(""https://docs.google.com/spreadsheets/d/1C3CXT74ZlgGe6_JY_1olB1XN4rF0dxEuIIF-xsYjHgg/edit?usp=sharing"",""งบกองทุน!s85"")"),127660)</f>
        <v>127660</v>
      </c>
      <c r="M280" s="58">
        <f>SUM(M281:M284)</f>
        <v>740</v>
      </c>
      <c r="N280" s="58">
        <f t="shared" ca="1" si="66"/>
        <v>0.57966473445088518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740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IFERROR(__xludf.DUMMYFUNCTION("IMPORTRANGE(""https://docs.google.com/spreadsheets/d/1C3CXT74ZlgGe6_JY_1olB1XN4rF0dxEuIIF-xsYjHgg/edit?usp=sharing"",""งบกองทุน!v85"")"),10)</f>
        <v>10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IFERROR(__xludf.DUMMYFUNCTION("IMPORTRANGE(""https://docs.google.com/spreadsheets/d/1C3CXT74ZlgGe6_JY_1olB1XN4rF0dxEuIIF-xsYjHgg/edit?usp=sharing"",""งบกองทุน!w85"")"),100)</f>
        <v>100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IFERROR(__xludf.DUMMYFUNCTION("IMPORTRANGE(""https://docs.google.com/spreadsheets/d/1C3CXT74ZlgGe6_JY_1olB1XN4rF0dxEuIIF-xsYjHgg/edit?usp=sharing"",""งบกองทุน!x85"")"),10)</f>
        <v>10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165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195740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55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195740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IFERROR(__xludf.DUMMYFUNCTION("IMPORTRANGE(""https://docs.google.com/spreadsheets/d/1C3CXT74ZlgGe6_JY_1olB1XN4rF0dxEuIIF-xsYjHgg/edit?usp=sharing"",""งบกองทุน!z85"")"),0)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IFERROR(__xludf.DUMMYFUNCTION("IMPORTRANGE(""https://docs.google.com/spreadsheets/d/1C3CXT74ZlgGe6_JY_1olB1XN4rF0dxEuIIF-xsYjHgg/edit?usp=sharing"",""งบกองทุน!aa85"")"),195740)</f>
        <v>195740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55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IFERROR(__xludf.DUMMYFUNCTION("IMPORTRANGE(""https://docs.google.com/spreadsheets/d/1C3CXT74ZlgGe6_JY_1olB1XN4rF0dxEuIIF-xsYjHgg/edit?usp=sharing"",""งบกองทุน!ae85"")"),25)</f>
        <v>25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IFERROR(__xludf.DUMMYFUNCTION("IMPORTRANGE(""https://docs.google.com/spreadsheets/d/1C3CXT74ZlgGe6_JY_1olB1XN4rF0dxEuIIF-xsYjHgg/edit?usp=sharing"",""งบกองทุน!ad85"")"),75)</f>
        <v>75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IFERROR(__xludf.DUMMYFUNCTION("IMPORTRANGE(""https://docs.google.com/spreadsheets/d/1C3CXT74ZlgGe6_JY_1olB1XN4rF0dxEuIIF-xsYjHgg/edit?usp=sharing"",""งบกองทุน!af85"")"),25)</f>
        <v>25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IFERROR(__xludf.DUMMYFUNCTION("IMPORTRANGE(""https://docs.google.com/spreadsheets/d/1C3CXT74ZlgGe6_JY_1olB1XN4rF0dxEuIIF-xsYjHgg/edit?usp=sharing"",""งบกองทุน!ag85"")"),25)</f>
        <v>25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IFERROR(__xludf.DUMMYFUNCTION("IMPORTRANGE(""https://docs.google.com/spreadsheets/d/1C3CXT74ZlgGe6_JY_1olB1XN4rF0dxEuIIF-xsYjHgg/edit?usp=sharing"",""งบกองทุน!ai85"")"),20)</f>
        <v>20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IFERROR(__xludf.DUMMYFUNCTION("IMPORTRANGE(""https://docs.google.com/spreadsheets/d/1C3CXT74ZlgGe6_JY_1olB1XN4rF0dxEuIIF-xsYjHgg/edit?usp=sharing"",""งบกองทุน!ah85"")"),60)</f>
        <v>60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IFERROR(__xludf.DUMMYFUNCTION("IMPORTRANGE(""https://docs.google.com/spreadsheets/d/1C3CXT74ZlgGe6_JY_1olB1XN4rF0dxEuIIF-xsYjHgg/edit?usp=sharing"",""งบกองทุน!aj85"")"),20)</f>
        <v>20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IFERROR(__xludf.DUMMYFUNCTION("IMPORTRANGE(""https://docs.google.com/spreadsheets/d/1C3CXT74ZlgGe6_JY_1olB1XN4rF0dxEuIIF-xsYjHgg/edit?usp=sharing"",""งบกองทุน!ak85"")"),20)</f>
        <v>20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IFERROR(__xludf.DUMMYFUNCTION("IMPORTRANGE(""https://docs.google.com/spreadsheets/d/1C3CXT74ZlgGe6_JY_1olB1XN4rF0dxEuIIF-xsYjHgg/edit?usp=sharing"",""งบกองทุน!al85"")"),20)</f>
        <v>20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IFERROR(__xludf.DUMMYFUNCTION("IMPORTRANGE(""https://docs.google.com/spreadsheets/d/1C3CXT74ZlgGe6_JY_1olB1XN4rF0dxEuIIF-xsYjHgg/edit?usp=sharing"",""งบกองทุน!an85"")"),10)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IFERROR(__xludf.DUMMYFUNCTION("IMPORTRANGE(""https://docs.google.com/spreadsheets/d/1C3CXT74ZlgGe6_JY_1olB1XN4rF0dxEuIIF-xsYjHgg/edit?usp=sharing"",""งบกองทุน!am85"")"),30)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IFERROR(__xludf.DUMMYFUNCTION("IMPORTRANGE(""https://docs.google.com/spreadsheets/d/1C3CXT74ZlgGe6_JY_1olB1XN4rF0dxEuIIF-xsYjHgg/edit?usp=sharing"",""งบกองทุน!ao85"")"),10)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IFERROR(__xludf.DUMMYFUNCTION("IMPORTRANGE(""https://docs.google.com/spreadsheets/d/1C3CXT74ZlgGe6_JY_1olB1XN4rF0dxEuIIF-xsYjHgg/edit?usp=sharing"",""งบกองทุน!ap85"")"),10)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45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IFERROR(__xludf.DUMMYFUNCTION("IMPORTRANGE(""https://docs.google.com/spreadsheets/d/1C3CXT74ZlgGe6_JY_1olB1XN4rF0dxEuIIF-xsYjHgg/edit?usp=sharing"",""งบกองทุน!ar85"")"),25)</f>
        <v>25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IFERROR(__xludf.DUMMYFUNCTION("IMPORTRANGE(""https://docs.google.com/spreadsheets/d/1C3CXT74ZlgGe6_JY_1olB1XN4rF0dxEuIIF-xsYjHgg/edit?usp=sharing"",""งบกองทุน!as85"")"),20)</f>
        <v>20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71000</v>
      </c>
      <c r="M330" s="277">
        <f t="shared" si="76"/>
        <v>5200</v>
      </c>
      <c r="N330" s="277">
        <f t="shared" ref="N330:N334" ca="1" si="77">+IF(L330&gt;0,M330*100/L330,0)</f>
        <v>7.323943661971831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71000</v>
      </c>
      <c r="M332" s="58">
        <f t="shared" si="78"/>
        <v>5200</v>
      </c>
      <c r="N332" s="58">
        <f t="shared" ca="1" si="77"/>
        <v>7.323943661971831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IFERROR(__xludf.DUMMYFUNCTION("IMPORTRANGE(""https://docs.google.com/spreadsheets/d/1C3CXT74ZlgGe6_JY_1olB1XN4rF0dxEuIIF-xsYjHgg/edit?usp=sharing"",""งบกองทุน!au85"")"),0)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IFERROR(__xludf.DUMMYFUNCTION("IMPORTRANGE(""https://docs.google.com/spreadsheets/d/1C3CXT74ZlgGe6_JY_1olB1XN4rF0dxEuIIF-xsYjHgg/edit?usp=sharing"",""งบกองทุน!av85"")"),71000)</f>
        <v>71000</v>
      </c>
      <c r="M334" s="58">
        <f>SUM(M335:M338)</f>
        <v>5200</v>
      </c>
      <c r="N334" s="58">
        <f t="shared" ca="1" si="77"/>
        <v>7.323943661971831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5200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1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0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10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IFERROR(__xludf.DUMMYFUNCTION("IMPORTRANGE(""https://docs.google.com/spreadsheets/d/1C3CXT74ZlgGe6_JY_1olB1XN4rF0dxEuIIF-xsYjHgg/edit?usp=sharing"",""งบกองทุน!ay85"")"),10)</f>
        <v>10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IFERROR(__xludf.DUMMYFUNCTION("IMPORTRANGE(""https://docs.google.com/spreadsheets/d/1C3CXT74ZlgGe6_JY_1olB1XN4rF0dxEuIIF-xsYjHgg/edit?usp=sharing"",""งบกองทุน!az85"")"),0)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IFERROR(__xludf.DUMMYFUNCTION("IMPORTRANGE(""https://docs.google.com/spreadsheets/d/1C3CXT74ZlgGe6_JY_1olB1XN4rF0dxEuIIF-xsYjHgg/edit?usp=sharing"",""งบกองทุน!Ba85"")"),0)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2587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54258</v>
      </c>
      <c r="M350" s="246">
        <f t="shared" si="81"/>
        <v>0</v>
      </c>
      <c r="N350" s="246">
        <f t="shared" ref="N350:N354" ca="1" si="82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54258</v>
      </c>
      <c r="M352" s="58">
        <f t="shared" si="83"/>
        <v>0</v>
      </c>
      <c r="N352" s="58">
        <f t="shared" ca="1" si="82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IFERROR(__xludf.DUMMYFUNCTION("IMPORTRANGE(""https://docs.google.com/spreadsheets/d/1C3CXT74ZlgGe6_JY_1olB1XN4rF0dxEuIIF-xsYjHgg/edit?usp=sharing"",""งบกองทุน!Bc85"")"),0)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IFERROR(__xludf.DUMMYFUNCTION("IMPORTRANGE(""https://docs.google.com/spreadsheets/d/1C3CXT74ZlgGe6_JY_1olB1XN4rF0dxEuIIF-xsYjHgg/edit?usp=sharing"",""งบกองทุน!Bd85"")"),54258)</f>
        <v>54258</v>
      </c>
      <c r="M354" s="58">
        <f>SUM(M355:M358)</f>
        <v>0</v>
      </c>
      <c r="N354" s="58">
        <f t="shared" ca="1" si="82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IFERROR(__xludf.DUMMYFUNCTION("IMPORTRANGE(""https://docs.google.com/spreadsheets/d/1C3CXT74ZlgGe6_JY_1olB1XN4rF0dxEuIIF-xsYjHgg/edit?usp=sharing"",""งบกองทุน!BE85"")"),2587)</f>
        <v>2587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2587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IFERROR(__xludf.DUMMYFUNCTION("IMPORTRANGE(""https://docs.google.com/spreadsheets/d/1C3CXT74ZlgGe6_JY_1olB1XN4rF0dxEuIIF-xsYjHgg/edit?usp=sharing"",""งบกองทุน!BF85"")"),902)</f>
        <v>902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2587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902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2587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902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IFERROR(__xludf.DUMMYFUNCTION("IMPORTRANGE(""https://docs.google.com/spreadsheets/d/1C3CXT74ZlgGe6_JY_1olB1XN4rF0dxEuIIF-xsYjHgg/edit?usp=sharing"",""งบกองทุน!cd85"")"),0)</f>
        <v>0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IFERROR(__xludf.DUMMYFUNCTION("IMPORTRANGE(""https://docs.google.com/spreadsheets/d/1C3CXT74ZlgGe6_JY_1olB1XN4rF0dxEuIIF-xsYjHgg/edit?usp=sharing"",""งบกองทุน!cd85"")"),0)</f>
        <v>0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IFERROR(__xludf.DUMMYFUNCTION("IMPORTRANGE(""https://docs.google.com/spreadsheets/d/1C3CXT74ZlgGe6_JY_1olB1XN4rF0dxEuIIF-xsYjHgg/edit?usp=sharing"",""งบกองทุน!cc85"")"),0)</f>
        <v>0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IFERROR(__xludf.DUMMYFUNCTION("IMPORTRANGE(""https://docs.google.com/spreadsheets/d/1C3CXT74ZlgGe6_JY_1olB1XN4rF0dxEuIIF-xsYjHgg/edit?usp=sharing"",""งบกองทุน!cz85"")"),0)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IFERROR(__xludf.DUMMYFUNCTION("IMPORTRANGE(""https://docs.google.com/spreadsheets/d/1C3CXT74ZlgGe6_JY_1olB1XN4rF0dxEuIIF-xsYjHgg/edit?usp=sharing"",""งบกองทุน!cz85"")"),0)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IFERROR(__xludf.DUMMYFUNCTION("IMPORTRANGE(""https://docs.google.com/spreadsheets/d/1C3CXT74ZlgGe6_JY_1olB1XN4rF0dxEuIIF-xsYjHgg/edit?usp=sharing"",""งบกองทุน!cy85"")"),0)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IFERROR(__xludf.DUMMYFUNCTION("IMPORTRANGE(""https://docs.google.com/spreadsheets/d/1C3CXT74ZlgGe6_JY_1olB1XN4rF0dxEuIIF-xsYjHgg/edit?usp=sharing"",""งบกองทุน!db85"")"),0)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IFERROR(__xludf.DUMMYFUNCTION("IMPORTRANGE(""https://docs.google.com/spreadsheets/d/1C3CXT74ZlgGe6_JY_1olB1XN4rF0dxEuIIF-xsYjHgg/edit?usp=sharing"",""งบกองทุน!da85"")"),0)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IFERROR(__xludf.DUMMYFUNCTION("IMPORTRANGE(""https://docs.google.com/spreadsheets/d/1C3CXT74ZlgGe6_JY_1olB1XN4rF0dxEuIIF-xsYjHgg/edit?usp=sharing"",""งบกองทุน!dd85"")"),0)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IFERROR(__xludf.DUMMYFUNCTION("IMPORTRANGE(""https://docs.google.com/spreadsheets/d/1C3CXT74ZlgGe6_JY_1olB1XN4rF0dxEuIIF-xsYjHgg/edit?usp=sharing"",""งบกองทุน!dc85"")"),0)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IFERROR(__xludf.DUMMYFUNCTION("IMPORTRANGE(""https://docs.google.com/spreadsheets/d/1C3CXT74ZlgGe6_JY_1olB1XN4rF0dxEuIIF-xsYjHgg/edit?usp=sharing"",""งบกองทุน!df85"")"),0)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IFERROR(__xludf.DUMMYFUNCTION("IMPORTRANGE(""https://docs.google.com/spreadsheets/d/1C3CXT74ZlgGe6_JY_1olB1XN4rF0dxEuIIF-xsYjHgg/edit?usp=sharing"",""งบกองทุน!de85"")"),0)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20</v>
      </c>
      <c r="J426" s="275">
        <f t="shared" si="95"/>
        <v>20</v>
      </c>
      <c r="K426" s="276">
        <f ca="1">IF(I426&gt;0,J426*100/I426,0)</f>
        <v>100</v>
      </c>
      <c r="L426" s="277">
        <f t="shared" ref="L426:M426" ca="1" si="96">SUM(L427:L428)</f>
        <v>32640</v>
      </c>
      <c r="M426" s="277">
        <f t="shared" si="96"/>
        <v>25680</v>
      </c>
      <c r="N426" s="277">
        <f t="shared" ref="N426:N430" ca="1" si="97">+IF(L426&gt;0,M426*100/L426,0)</f>
        <v>78.67647058823529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32640</v>
      </c>
      <c r="M428" s="58">
        <f t="shared" si="98"/>
        <v>25680</v>
      </c>
      <c r="N428" s="58">
        <f t="shared" ca="1" si="97"/>
        <v>78.67647058823529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IFERROR(__xludf.DUMMYFUNCTION("IMPORTRANGE(""https://docs.google.com/spreadsheets/d/1C3CXT74ZlgGe6_JY_1olB1XN4rF0dxEuIIF-xsYjHgg/edit?usp=sharing"",""งบกองทุน!dn85"")"),0)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IFERROR(__xludf.DUMMYFUNCTION("IMPORTRANGE(""https://docs.google.com/spreadsheets/d/1C3CXT74ZlgGe6_JY_1olB1XN4rF0dxEuIIF-xsYjHgg/edit?usp=sharing"",""งบกองทุน!do85"")"),32640)</f>
        <v>32640</v>
      </c>
      <c r="M430" s="58">
        <f>SUM(M431:M434)</f>
        <v>25680</v>
      </c>
      <c r="N430" s="58">
        <f t="shared" ca="1" si="97"/>
        <v>78.67647058823529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17040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8640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IFERROR(__xludf.DUMMYFUNCTION("IMPORTRANGE(""https://docs.google.com/spreadsheets/d/1C3CXT74ZlgGe6_JY_1olB1XN4rF0dxEuIIF-xsYjHgg/edit?usp=sharing"",""งบกองทุน!dq85"")"),20)</f>
        <v>20</v>
      </c>
      <c r="J440" s="74">
        <v>20</v>
      </c>
      <c r="K440" s="54">
        <f t="shared" ref="K440:K441" ca="1" si="99">IF(I440&gt;0,J440*100/I440,0)</f>
        <v>100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IFERROR(__xludf.DUMMYFUNCTION("IMPORTRANGE(""https://docs.google.com/spreadsheets/d/1C3CXT74ZlgGe6_JY_1olB1XN4rF0dxEuIIF-xsYjHgg/edit?usp=sharing"",""งบกองทุน!dr85"")"),20)</f>
        <v>20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IFERROR(__xludf.DUMMYFUNCTION("IMPORTRANGE(""https://docs.google.com/spreadsheets/d/1C3CXT74ZlgGe6_JY_1olB1XN4rF0dxEuIIF-xsYjHgg/edit?usp=sharing"",""งบกองทุน!dt85"")"),0)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IFERROR(__xludf.DUMMYFUNCTION("IMPORTRANGE(""https://docs.google.com/spreadsheets/d/1C3CXT74ZlgGe6_JY_1olB1XN4rF0dxEuIIF-xsYjHgg/edit?usp=sharing"",""งบกองทุน!du85"")"),0)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IFERROR(__xludf.DUMMYFUNCTION("IMPORTRANGE(""https://docs.google.com/spreadsheets/d/1C3CXT74ZlgGe6_JY_1olB1XN4rF0dxEuIIF-xsYjHgg/edit?usp=sharing"",""งบกองทุน!dw85"")"),0)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IFERROR(__xludf.DUMMYFUNCTION("IMPORTRANGE(""https://docs.google.com/spreadsheets/d/1C3CXT74ZlgGe6_JY_1olB1XN4rF0dxEuIIF-xsYjHgg/edit?usp=sharing"",""งบกองทุน!dx85"")"),0)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IFERROR(__xludf.DUMMYFUNCTION("IMPORTRANGE(""https://docs.google.com/spreadsheets/d/1C3CXT74ZlgGe6_JY_1olB1XN4rF0dxEuIIF-xsYjHgg/edit?usp=sharing"",""งบกองทุน!dy85"")"),0)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IFERROR(__xludf.DUMMYFUNCTION("IMPORTRANGE(""https://docs.google.com/spreadsheets/d/1C3CXT74ZlgGe6_JY_1olB1XN4rF0dxEuIIF-xsYjHgg/edit?usp=sharing"",""งบกองทุน!dz85"")"),0)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150</v>
      </c>
      <c r="J457" s="244">
        <f>+J466</f>
        <v>85</v>
      </c>
      <c r="K457" s="245">
        <f t="shared" ca="1" si="104"/>
        <v>56.666666666666664</v>
      </c>
      <c r="L457" s="246">
        <f t="shared" ref="L457:M457" ca="1" si="105">SUM(L458:L459)</f>
        <v>120720</v>
      </c>
      <c r="M457" s="246">
        <f t="shared" si="105"/>
        <v>6860</v>
      </c>
      <c r="N457" s="246">
        <f t="shared" ref="N457:N461" ca="1" si="106">+IF(L457&gt;0,M457*100/L457,0)</f>
        <v>5.6825712392312786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120720</v>
      </c>
      <c r="M459" s="58">
        <f t="shared" si="107"/>
        <v>6860</v>
      </c>
      <c r="N459" s="58">
        <f t="shared" ca="1" si="106"/>
        <v>5.6825712392312786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IFERROR(__xludf.DUMMYFUNCTION("IMPORTRANGE(""https://docs.google.com/spreadsheets/d/1C3CXT74ZlgGe6_JY_1olB1XN4rF0dxEuIIF-xsYjHgg/edit?usp=sharing"",""งบกองทุน!Eb85"")"),0)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IFERROR(__xludf.DUMMYFUNCTION("IMPORTRANGE(""https://docs.google.com/spreadsheets/d/1C3CXT74ZlgGe6_JY_1olB1XN4rF0dxEuIIF-xsYjHgg/edit?usp=sharing"",""งบกองทุน!Ec85"")"),120720)</f>
        <v>120720</v>
      </c>
      <c r="M461" s="58">
        <f>SUM(M462:M465)</f>
        <v>6860</v>
      </c>
      <c r="N461" s="58">
        <f t="shared" ca="1" si="106"/>
        <v>5.6825712392312786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6860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IFERROR(__xludf.DUMMYFUNCTION("IMPORTRANGE(""https://docs.google.com/spreadsheets/d/1C3CXT74ZlgGe6_JY_1olB1XN4rF0dxEuIIF-xsYjHgg/edit?usp=sharing"",""งบกองทุน!Ed85"")"),150)</f>
        <v>150</v>
      </c>
      <c r="J466" s="283">
        <f>+J469+J470+J471+J472</f>
        <v>85</v>
      </c>
      <c r="K466" s="85">
        <f ca="1">IF(I466&gt;0,J466*100/I466,0)</f>
        <v>56.666666666666664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1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26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59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IFERROR(__xludf.DUMMYFUNCTION("IMPORTRANGE(""https://docs.google.com/spreadsheets/d/1C3CXT74ZlgGe6_JY_1olB1XN4rF0dxEuIIF-xsYjHgg/edit?usp=sharing"",""งบกองทุน!Ek85"")"),0)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IFERROR(__xludf.DUMMYFUNCTION("IMPORTRANGE(""https://docs.google.com/spreadsheets/d/1C3CXT74ZlgGe6_JY_1olB1XN4rF0dxEuIIF-xsYjHgg/edit?usp=sharing"",""งบกองทุน!El85"")"),0)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IFERROR(__xludf.DUMMYFUNCTION("IMPORTRANGE(""https://docs.google.com/spreadsheets/d/1C3CXT74ZlgGe6_JY_1olB1XN4rF0dxEuIIF-xsYjHgg/edit?usp=sharing"",""งบกองทุน!Em85"")"),0)</f>
        <v>0</v>
      </c>
      <c r="J482" s="73">
        <f ca="1">IFERROR(__xludf.DUMMYFUNCTION("IMPORTRANGE(""https://docs.google.com/spreadsheets/d/1AGHcLOeeYFL3K4b9R1dSzyJy00PE_ra89DNTVfnxSWM/edit?usp=sharing"",""รวมที่ชุมชน!G74"")"),0)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IFERROR(__xludf.DUMMYFUNCTION("IMPORTRANGE(""https://docs.google.com/spreadsheets/d/1AGHcLOeeYFL3K4b9R1dSzyJy00PE_ra89DNTVfnxSWM/edit?usp=sharing"",""รวมที่ชุมชน!H74"")"),0)</f>
        <v>0</v>
      </c>
      <c r="K483" s="250">
        <f t="shared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IFERROR(__xludf.DUMMYFUNCTION("IMPORTRANGE(""https://docs.google.com/spreadsheets/d/1C3CXT74ZlgGe6_JY_1olB1XN4rF0dxEuIIF-xsYjHgg/edit?usp=sharing"",""งบกองทุน!Eo85"")"),0)</f>
        <v>0</v>
      </c>
      <c r="J484" s="73">
        <f ca="1">IFERROR(__xludf.DUMMYFUNCTION("IMPORTRANGE(""https://docs.google.com/spreadsheets/d/1AGHcLOeeYFL3K4b9R1dSzyJy00PE_ra89DNTVfnxSWM/edit?usp=sharing"",""รวมที่ชุมชน!J74"")"),0)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IFERROR(__xludf.DUMMYFUNCTION("IMPORTRANGE(""https://docs.google.com/spreadsheets/d/1AGHcLOeeYFL3K4b9R1dSzyJy00PE_ra89DNTVfnxSWM/edit?usp=sharing"",""รวมที่ชุมชน!L74"")"),0)</f>
        <v>0</v>
      </c>
      <c r="K485" s="250">
        <f t="shared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IFERROR(__xludf.DUMMYFUNCTION("IMPORTRANGE(""https://docs.google.com/spreadsheets/d/1C3CXT74ZlgGe6_JY_1olB1XN4rF0dxEuIIF-xsYjHgg/edit?usp=sharing"",""งบกองทุน!Eq85"")"),0)</f>
        <v>0</v>
      </c>
      <c r="J486" s="73">
        <f ca="1">IFERROR(__xludf.DUMMYFUNCTION("IMPORTRANGE(""https://docs.google.com/spreadsheets/d/1AGHcLOeeYFL3K4b9R1dSzyJy00PE_ra89DNTVfnxSWM/edit?usp=sharing"",""รวมที่ชุมชน!S74"")"),0)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IFERROR(__xludf.DUMMYFUNCTION("IMPORTRANGE(""https://docs.google.com/spreadsheets/d/1AGHcLOeeYFL3K4b9R1dSzyJy00PE_ra89DNTVfnxSWM/edit?usp=sharing"",""รวมที่ชุมชน!U74"")"),0)</f>
        <v>0</v>
      </c>
      <c r="K487" s="250">
        <f t="shared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IFERROR(__xludf.DUMMYFUNCTION("IMPORTRANGE(""https://docs.google.com/spreadsheets/d/1C3CXT74ZlgGe6_JY_1olB1XN4rF0dxEuIIF-xsYjHgg/edit?usp=sharing"",""งบกองทุน!Es85"")"),0)</f>
        <v>0</v>
      </c>
      <c r="J488" s="73">
        <f ca="1">IFERROR(__xludf.DUMMYFUNCTION("IMPORTRANGE(""https://docs.google.com/spreadsheets/d/1AGHcLOeeYFL3K4b9R1dSzyJy00PE_ra89DNTVfnxSWM/edit?usp=sharing"",""รวมที่ชุมชน!V74"")"),0)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IFERROR(__xludf.DUMMYFUNCTION("IMPORTRANGE(""https://docs.google.com/spreadsheets/d/1AGHcLOeeYFL3K4b9R1dSzyJy00PE_ra89DNTVfnxSWM/edit?usp=sharing"",""รวมที่ชุมชน!X74"")"),0)</f>
        <v>0</v>
      </c>
      <c r="K489" s="385">
        <f t="shared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10690</v>
      </c>
      <c r="M490" s="277">
        <f>SUM(M491:M492)</f>
        <v>1400</v>
      </c>
      <c r="N490" s="277">
        <f t="shared" ref="N490:N494" ca="1" si="113">+IF(L490&gt;0,M490*100/L490,0)</f>
        <v>13.096351730589335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10690</v>
      </c>
      <c r="M492" s="58">
        <f t="shared" si="114"/>
        <v>1400</v>
      </c>
      <c r="N492" s="58">
        <f t="shared" ca="1" si="113"/>
        <v>13.096351730589335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IFERROR(__xludf.DUMMYFUNCTION("IMPORTRANGE(""https://docs.google.com/spreadsheets/d/1C3CXT74ZlgGe6_JY_1olB1XN4rF0dxEuIIF-xsYjHgg/edit?usp=sharing"",""งบกองทุน!Ev85"")"),0)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IFERROR(__xludf.DUMMYFUNCTION("IMPORTRANGE(""https://docs.google.com/spreadsheets/d/1C3CXT74ZlgGe6_JY_1olB1XN4rF0dxEuIIF-xsYjHgg/edit?usp=sharing"",""งบกองทุน!Ew85"")"),10690)</f>
        <v>10690</v>
      </c>
      <c r="M494" s="58">
        <f>SUM(M495:M498)</f>
        <v>1400</v>
      </c>
      <c r="N494" s="58">
        <f t="shared" ca="1" si="113"/>
        <v>13.096351730589335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1400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IFERROR(__xludf.DUMMYFUNCTION("IMPORTRANGE(""https://docs.google.com/spreadsheets/d/1C3CXT74ZlgGe6_JY_1olB1XN4rF0dxEuIIF-xsYjHgg/edit?usp=sharing"",""งบกองทุน!EZ85"")"),50)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50</v>
      </c>
      <c r="K505" s="54">
        <f ca="1">+J505*100/I504</f>
        <v>100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IFERROR(__xludf.DUMMYFUNCTION("IMPORTRANGE(""https://docs.google.com/spreadsheets/d/1muirlRDkqiswvy_NRZ3Yh955hx-PF6_HhssUYiSJj8o/edit?usp=sharing"",""กองทุน!D85"")"),309233.81)</f>
        <v>309233.81</v>
      </c>
      <c r="J521" s="214">
        <f ca="1">IFERROR(__xludf.DUMMYFUNCTION("IMPORTRANGE(""https://docs.google.com/spreadsheets/d/1muirlRDkqiswvy_NRZ3Yh955hx-PF6_HhssUYiSJj8o/edit?usp=sharing"",""กองทุน!F85"")"),0)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IFERROR(__xludf.DUMMYFUNCTION("IMPORTRANGE(""https://docs.google.com/spreadsheets/d/1muirlRDkqiswvy_NRZ3Yh955hx-PF6_HhssUYiSJj8o/edit?usp=sharing"",""กองทุน!C85"")"),29)</f>
        <v>29</v>
      </c>
      <c r="J522" s="214">
        <f ca="1">IFERROR(__xludf.DUMMYFUNCTION("IMPORTRANGE(""https://docs.google.com/spreadsheets/d/1muirlRDkqiswvy_NRZ3Yh955hx-PF6_HhssUYiSJj8o/edit?usp=sharing"",""กองทุน!E85"")"),0)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IFERROR(__xludf.DUMMYFUNCTION("IMPORTRANGE(""https://docs.google.com/spreadsheets/d/1muirlRDkqiswvy_NRZ3Yh955hx-PF6_HhssUYiSJj8o/edit?usp=sharing"",""กองทุน!I85"")"),284624.01)</f>
        <v>284624.01</v>
      </c>
      <c r="J523" s="214">
        <f ca="1">IFERROR(__xludf.DUMMYFUNCTION("IMPORTRANGE(""https://docs.google.com/spreadsheets/d/1muirlRDkqiswvy_NRZ3Yh955hx-PF6_HhssUYiSJj8o/edit?usp=sharing"",""กองทุน!K85"")"),1388.73)</f>
        <v>1388.73</v>
      </c>
      <c r="K523" s="215">
        <f t="shared" ca="1" si="118"/>
        <v>0.48791737562828941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IFERROR(__xludf.DUMMYFUNCTION("IMPORTRANGE(""https://docs.google.com/spreadsheets/d/1muirlRDkqiswvy_NRZ3Yh955hx-PF6_HhssUYiSJj8o/edit?usp=sharing"",""กองทุน!H85"")"),10)</f>
        <v>10</v>
      </c>
      <c r="J524" s="214">
        <f ca="1">IFERROR(__xludf.DUMMYFUNCTION("IMPORTRANGE(""https://docs.google.com/spreadsheets/d/1muirlRDkqiswvy_NRZ3Yh955hx-PF6_HhssUYiSJj8o/edit?usp=sharing"",""กองทุน!J85"")"),2)</f>
        <v>2</v>
      </c>
      <c r="K524" s="215">
        <f t="shared" ca="1" si="118"/>
        <v>20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IFERROR(__xludf.DUMMYFUNCTION("IMPORTRANGE(""https://docs.google.com/spreadsheets/d/1muirlRDkqiswvy_NRZ3Yh955hx-PF6_HhssUYiSJj8o/edit?usp=sharing"",""กองทุน!N85"")"),0)</f>
        <v>0</v>
      </c>
      <c r="J525" s="214">
        <f ca="1">IFERROR(__xludf.DUMMYFUNCTION("IMPORTRANGE(""https://docs.google.com/spreadsheets/d/1muirlRDkqiswvy_NRZ3Yh955hx-PF6_HhssUYiSJj8o/edit?usp=sharing"",""กองทุน!P85"")"),1705.88)</f>
        <v>1705.88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IFERROR(__xludf.DUMMYFUNCTION("IMPORTRANGE(""https://docs.google.com/spreadsheets/d/1muirlRDkqiswvy_NRZ3Yh955hx-PF6_HhssUYiSJj8o/edit?usp=sharing"",""กองทุน!M85"")"),0)</f>
        <v>0</v>
      </c>
      <c r="J526" s="214">
        <f ca="1">IFERROR(__xludf.DUMMYFUNCTION("IMPORTRANGE(""https://docs.google.com/spreadsheets/d/1muirlRDkqiswvy_NRZ3Yh955hx-PF6_HhssUYiSJj8o/edit?usp=sharing"",""กองทุน!O85"")"),2)</f>
        <v>2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IFERROR(__xludf.DUMMYFUNCTION("IMPORTRANGE(""https://docs.google.com/spreadsheets/d/1muirlRDkqiswvy_NRZ3Yh955hx-PF6_HhssUYiSJj8o/edit?usp=sharing"",""กองทุน!S85"")"),300000)</f>
        <v>300000</v>
      </c>
      <c r="J527" s="214">
        <f ca="1">IFERROR(__xludf.DUMMYFUNCTION("IMPORTRANGE(""https://docs.google.com/spreadsheets/d/1muirlRDkqiswvy_NRZ3Yh955hx-PF6_HhssUYiSJj8o/edit?usp=sharing"",""กองทุน!U85"")"),0)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IFERROR(__xludf.DUMMYFUNCTION("IMPORTRANGE(""https://docs.google.com/spreadsheets/d/1muirlRDkqiswvy_NRZ3Yh955hx-PF6_HhssUYiSJj8o/edit?usp=sharing"",""กองทุน!R85"")"),10)</f>
        <v>10</v>
      </c>
      <c r="J528" s="342">
        <f ca="1">IFERROR(__xludf.DUMMYFUNCTION("IMPORTRANGE(""https://docs.google.com/spreadsheets/d/1muirlRDkqiswvy_NRZ3Yh955hx-PF6_HhssUYiSJj8o/edit?usp=sharing"",""กองทุน!T85"")"),0)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sqref="A1:XFD1048576"/>
      <selection pane="bottomLeft" activeCell="H19" sqref="H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226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1088725</v>
      </c>
      <c r="M6" s="18">
        <f t="shared" si="0"/>
        <v>3860</v>
      </c>
      <c r="N6" s="19">
        <f ca="1">IF(L6&gt;0,M6*100/L6,0)</f>
        <v>0.35454315828147603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IFERROR(__xludf.DUMMYFUNCTION("IMPORTRANGE(""https://docs.google.com/spreadsheets/d/1C3CXT74ZlgGe6_JY_1olB1XN4rF0dxEuIIF-xsYjHgg/edit?usp=sharing"",""พรบ!C87"")"),0)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IFERROR(__xludf.DUMMYFUNCTION("IMPORTRANGE(""https://docs.google.com/spreadsheets/d/1C3CXT74ZlgGe6_JY_1olB1XN4rF0dxEuIIF-xsYjHgg/edit?usp=sharing"",""พรบ!D87"")"),0)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IFERROR(__xludf.DUMMYFUNCTION("IMPORTRANGE(""https://docs.google.com/spreadsheets/d/1C3CXT74ZlgGe6_JY_1olB1XN4rF0dxEuIIF-xsYjHgg/edit?usp=sharing"",""พรบ!E87"")"),0)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IFERROR(__xludf.DUMMYFUNCTION("IMPORTRANGE(""https://docs.google.com/spreadsheets/d/1C3CXT74ZlgGe6_JY_1olB1XN4rF0dxEuIIF-xsYjHgg/edit?usp=sharing"",""พรบ!H87"")"),0)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IFERROR(__xludf.DUMMYFUNCTION("IMPORTRANGE(""https://docs.google.com/spreadsheets/d/1C3CXT74ZlgGe6_JY_1olB1XN4rF0dxEuIIF-xsYjHgg/edit?usp=sharing"",""พรบ!I87"")"),0)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IFERROR(__xludf.DUMMYFUNCTION("IMPORTRANGE(""https://docs.google.com/spreadsheets/d/1C3CXT74ZlgGe6_JY_1olB1XN4rF0dxEuIIF-xsYjHgg/edit?usp=sharing"",""พรบ!J87"")"),0)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IFERROR(__xludf.DUMMYFUNCTION("IMPORTRANGE(""https://docs.google.com/spreadsheets/d/1C3CXT74ZlgGe6_JY_1olB1XN4rF0dxEuIIF-xsYjHgg/edit?usp=sharing"",""พรบ!K87"")"),0)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IFERROR(__xludf.DUMMYFUNCTION("IMPORTRANGE(""https://docs.google.com/spreadsheets/d/1C3CXT74ZlgGe6_JY_1olB1XN4rF0dxEuIIF-xsYjHgg/edit?usp=sharing"",""พรบ!L87"")"),0)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IFERROR(__xludf.DUMMYFUNCTION("IMPORTRANGE(""https://docs.google.com/spreadsheets/d/1C3CXT74ZlgGe6_JY_1olB1XN4rF0dxEuIIF-xsYjHgg/edit?usp=sharing"",""พรบ!M87"")"),0)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IFERROR(__xludf.DUMMYFUNCTION("IMPORTRANGE(""https://docs.google.com/spreadsheets/d/1C3CXT74ZlgGe6_JY_1olB1XN4rF0dxEuIIF-xsYjHgg/edit?usp=sharing"",""พรบ!N87"")"),0)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IFERROR(__xludf.DUMMYFUNCTION("IMPORTRANGE(""https://docs.google.com/spreadsheets/d/1C3CXT74ZlgGe6_JY_1olB1XN4rF0dxEuIIF-xsYjHgg/edit?usp=sharing"",""พรบ!O87"")"),0)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IFERROR(__xludf.DUMMYFUNCTION("IMPORTRANGE(""https://docs.google.com/spreadsheets/d/1C3CXT74ZlgGe6_JY_1olB1XN4rF0dxEuIIF-xsYjHgg/edit?usp=sharing"",""พรบ!P87"")"),0)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IFERROR(__xludf.DUMMYFUNCTION("IMPORTRANGE(""https://docs.google.com/spreadsheets/d/1C3CXT74ZlgGe6_JY_1olB1XN4rF0dxEuIIF-xsYjHgg/edit?usp=sharing"",""พรบ!Q87"")"),0)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IFERROR(__xludf.DUMMYFUNCTION("IMPORTRANGE(""https://docs.google.com/spreadsheets/d/1C3CXT74ZlgGe6_JY_1olB1XN4rF0dxEuIIF-xsYjHgg/edit?usp=sharing"",""พรบ!R87"")"),0)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IFERROR(__xludf.DUMMYFUNCTION("IMPORTRANGE(""https://docs.google.com/spreadsheets/d/1C3CXT74ZlgGe6_JY_1olB1XN4rF0dxEuIIF-xsYjHgg/edit?usp=sharing"",""พรบ!S87"")"),0)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IFERROR(__xludf.DUMMYFUNCTION("IMPORTRANGE(""https://docs.google.com/spreadsheets/d/1C3CXT74ZlgGe6_JY_1olB1XN4rF0dxEuIIF-xsYjHgg/edit?usp=sharing"",""พรบ!T87"")"),0)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IFERROR(__xludf.DUMMYFUNCTION("IMPORTRANGE(""https://docs.google.com/spreadsheets/d/1C3CXT74ZlgGe6_JY_1olB1XN4rF0dxEuIIF-xsYjHgg/edit?usp=sharing"",""พรบ!U87"")"),0)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IFERROR(__xludf.DUMMYFUNCTION("IMPORTRANGE(""https://docs.google.com/spreadsheets/d/1C3CXT74ZlgGe6_JY_1olB1XN4rF0dxEuIIF-xsYjHgg/edit?usp=sharing"",""พรบ!V87"")"),0)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IFERROR(__xludf.DUMMYFUNCTION("IMPORTRANGE(""https://docs.google.com/spreadsheets/d/1C3CXT74ZlgGe6_JY_1olB1XN4rF0dxEuIIF-xsYjHgg/edit?usp=sharing"",""พรบ!W87"")"),0)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15</v>
      </c>
      <c r="J52" s="43">
        <f>+J62</f>
        <v>0</v>
      </c>
      <c r="K52" s="44">
        <f ca="1">IF(I52&gt;0,J52*100/I52,0)</f>
        <v>0</v>
      </c>
      <c r="L52" s="45">
        <f ca="1">L53+L54</f>
        <v>64890</v>
      </c>
      <c r="M52" s="45">
        <f>SUM(M53:M54)</f>
        <v>3380</v>
      </c>
      <c r="N52" s="44">
        <f ca="1">IF(L52&gt;0,M52*100/L52,0)</f>
        <v>5.2088149175527816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64890</v>
      </c>
      <c r="M54" s="55">
        <f t="shared" si="13"/>
        <v>3380</v>
      </c>
      <c r="N54" s="55">
        <f t="shared" ca="1" si="12"/>
        <v>5.2088149175527816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IFERROR(__xludf.DUMMYFUNCTION("IMPORTRANGE(""https://docs.google.com/spreadsheets/d/1C3CXT74ZlgGe6_JY_1olB1XN4rF0dxEuIIF-xsYjHgg/edit?usp=sharing"",""พรบ!Y87"")"),0)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IFERROR(__xludf.DUMMYFUNCTION("IMPORTRANGE(""https://docs.google.com/spreadsheets/d/1C3CXT74ZlgGe6_JY_1olB1XN4rF0dxEuIIF-xsYjHgg/edit?usp=sharing"",""พรบ!Z87"")"),64890)</f>
        <v>64890</v>
      </c>
      <c r="M56" s="59">
        <v>3380</v>
      </c>
      <c r="N56" s="58">
        <f t="shared" ca="1" si="12"/>
        <v>5.2088149175527816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4">
        <v>0</v>
      </c>
      <c r="K58" s="54"/>
      <c r="L58" s="66"/>
      <c r="M58" s="66"/>
      <c r="N58" s="66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4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4">
        <v>0</v>
      </c>
      <c r="K60" s="54"/>
      <c r="L60" s="66"/>
      <c r="M60" s="66"/>
      <c r="N60" s="66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4">
        <v>0</v>
      </c>
      <c r="K61" s="54"/>
      <c r="L61" s="66"/>
      <c r="M61" s="66"/>
      <c r="N61" s="66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IFERROR(__xludf.DUMMYFUNCTION("IMPORTRANGE(""https://docs.google.com/spreadsheets/d/1C3CXT74ZlgGe6_JY_1olB1XN4rF0dxEuIIF-xsYjHgg/edit?usp=sharing"",""พรบ!AA87"")"),15)</f>
        <v>15</v>
      </c>
      <c r="J62" s="74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15</v>
      </c>
      <c r="J63" s="74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4">
        <v>0</v>
      </c>
      <c r="K64" s="54"/>
      <c r="L64" s="66"/>
      <c r="M64" s="66"/>
      <c r="N64" s="66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121">
        <v>0</v>
      </c>
      <c r="K65" s="122"/>
      <c r="L65" s="123"/>
      <c r="M65" s="123"/>
      <c r="N65" s="123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72500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72500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IFERROR(__xludf.DUMMYFUNCTION("IMPORTRANGE(""https://docs.google.com/spreadsheets/d/1C3CXT74ZlgGe6_JY_1olB1XN4rF0dxEuIIF-xsYjHgg/edit?usp=sharing"",""พรบ!AD87"")"),0)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72500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IFERROR(__xludf.DUMMYFUNCTION("IMPORTRANGE(""https://docs.google.com/spreadsheets/d/1C3CXT74ZlgGe6_JY_1olB1XN4rF0dxEuIIF-xsYjHgg/edit?usp=sharing"",""พรบ!AF87"")"),7500)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1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0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IFERROR(__xludf.DUMMYFUNCTION("IMPORTRANGE(""https://docs.google.com/spreadsheets/d/1C3CXT74ZlgGe6_JY_1olB1XN4rF0dxEuIIF-xsYjHgg/edit?usp=sharing"",""พรบ!AG87"")"),4)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4</v>
      </c>
      <c r="J89" s="161">
        <f t="shared" si="21"/>
        <v>0</v>
      </c>
      <c r="K89" s="162">
        <f ca="1">IF(I89&gt;0,J89*100/I89,0)</f>
        <v>0</v>
      </c>
      <c r="L89" s="159">
        <f ca="1">L90+L91</f>
        <v>56000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IFERROR(__xludf.DUMMYFUNCTION("IMPORTRANGE(""https://docs.google.com/spreadsheets/d/1C3CXT74ZlgGe6_JY_1olB1XN4rF0dxEuIIF-xsYjHgg/edit?usp=sharing"",""พรบ!AH87"")"),56000)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0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IFERROR(__xludf.DUMMYFUNCTION("IMPORTRANGE(""https://docs.google.com/spreadsheets/d/1C3CXT74ZlgGe6_JY_1olB1XN4rF0dxEuIIF-xsYjHgg/edit?usp=sharing"",""พรบ!AI87"")"),4)</f>
        <v>4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IFERROR(__xludf.DUMMYFUNCTION("IMPORTRANGE(""https://docs.google.com/spreadsheets/d/1C3CXT74ZlgGe6_JY_1olB1XN4rF0dxEuIIF-xsYjHgg/edit?usp=sharing"",""กปร!C87"")"),48000)</f>
        <v>48000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IFERROR(__xludf.DUMMYFUNCTION("IMPORTRANGE(""https://docs.google.com/spreadsheets/d/1C3CXT74ZlgGe6_JY_1olB1XN4rF0dxEuIIF-xsYjHgg/edit?usp=sharing"",""พรบ!AJ87"")"),0)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IFERROR(__xludf.DUMMYFUNCTION("IMPORTRANGE(""https://docs.google.com/spreadsheets/d/1C3CXT74ZlgGe6_JY_1olB1XN4rF0dxEuIIF-xsYjHgg/edit?usp=sharing"",""พรบ!AK87"")"),0)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IFERROR(__xludf.DUMMYFUNCTION("IMPORTRANGE(""https://docs.google.com/spreadsheets/d/1C3CXT74ZlgGe6_JY_1olB1XN4rF0dxEuIIF-xsYjHgg/edit?usp=sharing"",""กปร!D87"")"),0)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IFERROR(__xludf.DUMMYFUNCTION("IMPORTRANGE(""https://docs.google.com/spreadsheets/d/1C3CXT74ZlgGe6_JY_1olB1XN4rF0dxEuIIF-xsYjHgg/edit?usp=sharing"",""พรบ!AL87"")"),0)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IFERROR(__xludf.DUMMYFUNCTION("IMPORTRANGE(""https://docs.google.com/spreadsheets/d/1C3CXT74ZlgGe6_JY_1olB1XN4rF0dxEuIIF-xsYjHgg/edit?usp=sharing"",""กปร!E87"")"),0)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20000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9000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IFERROR(__xludf.DUMMYFUNCTION("IMPORTRANGE(""https://docs.google.com/spreadsheets/d/1C3CXT74ZlgGe6_JY_1olB1XN4rF0dxEuIIF-xsYjHgg/edit?usp=sharing"",""พรบ!AM87"")"),9000)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1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IFERROR(__xludf.DUMMYFUNCTION("IMPORTRANGE(""https://docs.google.com/spreadsheets/d/1C3CXT74ZlgGe6_JY_1olB1XN4rF0dxEuIIF-xsYjHgg/edit?usp=sharing"",""พรบ!AO87"")"),20000)</f>
        <v>20000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IFERROR(__xludf.DUMMYFUNCTION("IMPORTRANGE(""https://docs.google.com/spreadsheets/d/1C3CXT74ZlgGe6_JY_1olB1XN4rF0dxEuIIF-xsYjHgg/edit?usp=sharing"",""พรบ!AP87"")"),20000)</f>
        <v>20000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IFERROR(__xludf.DUMMYFUNCTION("IMPORTRANGE(""https://docs.google.com/spreadsheets/d/1C3CXT74ZlgGe6_JY_1olB1XN4rF0dxEuIIF-xsYjHgg/edit?usp=sharing"",""กปร!F87"")"),5000)</f>
        <v>5000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IFERROR(__xludf.DUMMYFUNCTION("IMPORTRANGE(""https://docs.google.com/spreadsheets/d/1C3CXT74ZlgGe6_JY_1olB1XN4rF0dxEuIIF-xsYjHgg/edit?usp=sharing"",""พรบ!AQ87"")"),0)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IFERROR(__xludf.DUMMYFUNCTION("IMPORTRANGE(""https://docs.google.com/spreadsheets/d/1C3CXT74ZlgGe6_JY_1olB1XN4rF0dxEuIIF-xsYjHgg/edit?usp=sharing"",""กปร!G87"")"),0)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IFERROR(__xludf.DUMMYFUNCTION("IMPORTRANGE(""https://docs.google.com/spreadsheets/d/1C3CXT74ZlgGe6_JY_1olB1XN4rF0dxEuIIF-xsYjHgg/edit?usp=sharing"",""พรบ!AR87"")"),0)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IFERROR(__xludf.DUMMYFUNCTION("IMPORTRANGE(""https://docs.google.com/spreadsheets/d/1C3CXT74ZlgGe6_JY_1olB1XN4rF0dxEuIIF-xsYjHgg/edit?usp=sharing"",""พรบ!AS87"")"),0)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IFERROR(__xludf.DUMMYFUNCTION("IMPORTRANGE(""https://docs.google.com/spreadsheets/d/1C3CXT74ZlgGe6_JY_1olB1XN4rF0dxEuIIF-xsYjHgg/edit?usp=sharing"",""กปร!H87"")"),0)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IFERROR(__xludf.DUMMYFUNCTION("IMPORTRANGE(""https://docs.google.com/spreadsheets/d/1C3CXT74ZlgGe6_JY_1olB1XN4rF0dxEuIIF-xsYjHgg/edit?usp=sharing"",""พรบ!AT87"")"),0)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IFERROR(__xludf.DUMMYFUNCTION("IMPORTRANGE(""https://docs.google.com/spreadsheets/d/1C3CXT74ZlgGe6_JY_1olB1XN4rF0dxEuIIF-xsYjHgg/edit?usp=sharing"",""กปร!I87"")"),0)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IFERROR(__xludf.DUMMYFUNCTION("IMPORTRANGE(""https://docs.google.com/spreadsheets/d/1C3CXT74ZlgGe6_JY_1olB1XN4rF0dxEuIIF-xsYjHgg/edit?usp=sharing"",""พรบ!AU87"")"),0)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IFERROR(__xludf.DUMMYFUNCTION("IMPORTRANGE(""https://docs.google.com/spreadsheets/d/1C3CXT74ZlgGe6_JY_1olB1XN4rF0dxEuIIF-xsYjHgg/edit?usp=sharing"",""กปร!J87"")"),0)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21125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IFERROR(__xludf.DUMMYFUNCTION("IMPORTRANGE(""https://docs.google.com/spreadsheets/d/1C3CXT74ZlgGe6_JY_1olB1XN4rF0dxEuIIF-xsYjHgg/edit?usp=sharing"",""พรบ!AY87"")"),21125)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0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0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IFERROR(__xludf.DUMMYFUNCTION("IMPORTRANGE(""https://docs.google.com/spreadsheets/d/1C3CXT74ZlgGe6_JY_1olB1XN4rF0dxEuIIF-xsYjHgg/edit?usp=sharing"",""พรบ!BA87"")"),15)</f>
        <v>15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IFERROR(__xludf.DUMMYFUNCTION("IMPORTRANGE(""https://docs.google.com/spreadsheets/d/1C3CXT74ZlgGe6_JY_1olB1XN4rF0dxEuIIF-xsYjHgg/edit?usp=sharing"",""พรบ!BD87"")"),0)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IFERROR(__xludf.DUMMYFUNCTION("IMPORTRANGE(""https://docs.google.com/spreadsheets/d/1C3CXT74ZlgGe6_JY_1olB1XN4rF0dxEuIIF-xsYjHgg/edit?usp=sharing"",""พรบ!BE87"")"),0)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IFERROR(__xludf.DUMMYFUNCTION("IMPORTRANGE(""https://docs.google.com/spreadsheets/d/1C3CXT74ZlgGe6_JY_1olB1XN4rF0dxEuIIF-xsYjHgg/edit?usp=sharing"",""พรบ!BF87"")"),0)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IFERROR(__xludf.DUMMYFUNCTION("IMPORTRANGE(""https://docs.google.com/spreadsheets/d/1C3CXT74ZlgGe6_JY_1olB1XN4rF0dxEuIIF-xsYjHgg/edit?usp=sharing"",""พรบ!BG87"")"),0)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IFERROR(__xludf.DUMMYFUNCTION("IMPORTRANGE(""https://docs.google.com/spreadsheets/d/1C3CXT74ZlgGe6_JY_1olB1XN4rF0dxEuIIF-xsYjHgg/edit?usp=sharing"",""พรบ!BH87"")"),0)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IFERROR(__xludf.DUMMYFUNCTION("IMPORTRANGE(""https://docs.google.com/spreadsheets/d/1C3CXT74ZlgGe6_JY_1olB1XN4rF0dxEuIIF-xsYjHgg/edit?usp=sharing"",""พรบ!BI87"")"),0)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15</v>
      </c>
      <c r="J185" s="191">
        <f>+J195</f>
        <v>0</v>
      </c>
      <c r="K185" s="192">
        <f ca="1">IF(I185&gt;0,J185*100/I185,0)</f>
        <v>0</v>
      </c>
      <c r="L185" s="193">
        <f ca="1">L186+L187</f>
        <v>187200</v>
      </c>
      <c r="M185" s="193">
        <f>SUM(M186:M187)</f>
        <v>480</v>
      </c>
      <c r="N185" s="192">
        <f ca="1">IF(L185&gt;0,M185*100/L185,0)</f>
        <v>0.25641025641025639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187200</v>
      </c>
      <c r="M187" s="55">
        <f t="shared" si="43"/>
        <v>480</v>
      </c>
      <c r="N187" s="55">
        <f t="shared" ca="1" si="42"/>
        <v>0.25641025641025639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IFERROR(__xludf.DUMMYFUNCTION("IMPORTRANGE(""https://docs.google.com/spreadsheets/d/1C3CXT74ZlgGe6_JY_1olB1XN4rF0dxEuIIF-xsYjHgg/edit?usp=sharing"",""พรบ!BK87"")"),132000)</f>
        <v>132000</v>
      </c>
      <c r="M188" s="59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IFERROR(__xludf.DUMMYFUNCTION("IMPORTRANGE(""https://docs.google.com/spreadsheets/d/1C3CXT74ZlgGe6_JY_1olB1XN4rF0dxEuIIF-xsYjHgg/edit?usp=sharing"",""พรบ!BL87"")"),55200)</f>
        <v>55200</v>
      </c>
      <c r="M189" s="59">
        <v>480</v>
      </c>
      <c r="N189" s="58">
        <f t="shared" ca="1" si="42"/>
        <v>0.86956521739130432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4">
        <v>0</v>
      </c>
      <c r="K191" s="54"/>
      <c r="L191" s="66"/>
      <c r="M191" s="66"/>
      <c r="N191" s="66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4">
        <v>1</v>
      </c>
      <c r="K192" s="54"/>
      <c r="L192" s="66"/>
      <c r="M192" s="66"/>
      <c r="N192" s="66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4">
        <v>0</v>
      </c>
      <c r="K193" s="54"/>
      <c r="L193" s="66"/>
      <c r="M193" s="66"/>
      <c r="N193" s="66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4">
        <v>0</v>
      </c>
      <c r="K194" s="54"/>
      <c r="L194" s="66"/>
      <c r="M194" s="66"/>
      <c r="N194" s="66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IFERROR(__xludf.DUMMYFUNCTION("IMPORTRANGE(""https://docs.google.com/spreadsheets/d/1C3CXT74ZlgGe6_JY_1olB1XN4rF0dxEuIIF-xsYjHgg/edit?usp=sharing"",""พรบ!BM87"")"),15)</f>
        <v>15</v>
      </c>
      <c r="J195" s="74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4">
        <v>0</v>
      </c>
      <c r="K196" s="54"/>
      <c r="L196" s="66"/>
      <c r="M196" s="66"/>
      <c r="N196" s="66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90">
        <v>0</v>
      </c>
      <c r="K197" s="54"/>
      <c r="L197" s="66"/>
      <c r="M197" s="66"/>
      <c r="N197" s="66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IFERROR(__xludf.DUMMYFUNCTION("IMPORTRANGE(""https://docs.google.com/spreadsheets/d/1C3CXT74ZlgGe6_JY_1olB1XN4rF0dxEuIIF-xsYjHgg/edit?usp=sharing"",""พรบ!BP87"")"),0)</f>
        <v>0</v>
      </c>
      <c r="M203" s="58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IFERROR(__xludf.DUMMYFUNCTION("IMPORTRANGE(""https://docs.google.com/spreadsheets/d/1C3CXT74ZlgGe6_JY_1olB1XN4rF0dxEuIIF-xsYjHgg/edit?usp=sharing"",""พรบ!BQ87"")"),0)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IFERROR(__xludf.DUMMYFUNCTION("IMPORTRANGE(""https://docs.google.com/spreadsheets/d/1C3CXT74ZlgGe6_JY_1olB1XN4rF0dxEuIIF-xsYjHgg/edit?usp=sharing"",""พรบ!BR87"")"),0)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IFERROR(__xludf.DUMMYFUNCTION("IMPORTRANGE(""https://docs.google.com/spreadsheets/d/1C3CXT74ZlgGe6_JY_1olB1XN4rF0dxEuIIF-xsYjHgg/edit?usp=sharing"",""พรบ!BU87"")"),0)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IFERROR(__xludf.DUMMYFUNCTION("IMPORTRANGE(""https://docs.google.com/spreadsheets/d/1C3CXT74ZlgGe6_JY_1olB1XN4rF0dxEuIIF-xsYjHgg/edit?usp=sharing"",""พรบ!BV87"")"),0)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110</v>
      </c>
      <c r="J228" s="212">
        <f ca="1">J240</f>
        <v>4</v>
      </c>
      <c r="K228" s="192">
        <f ca="1">IF(I228&gt;0,J228*100/I228,0)</f>
        <v>3.6363636363636362</v>
      </c>
      <c r="L228" s="193">
        <f ca="1">L229+L230</f>
        <v>743010</v>
      </c>
      <c r="M228" s="193">
        <f>SUM(M229:M230)</f>
        <v>0</v>
      </c>
      <c r="N228" s="192">
        <f ca="1">IF(L228&gt;0,M228*100/L228,0)</f>
        <v>0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743010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IFERROR(__xludf.DUMMYFUNCTION("IMPORTRANGE(""https://docs.google.com/spreadsheets/d/1C3CXT74ZlgGe6_JY_1olB1XN4rF0dxEuIIF-xsYjHgg/edit?usp=sharing"",""พรบ!BX87"")"),492000)</f>
        <v>492000</v>
      </c>
      <c r="M231" s="59">
        <v>0</v>
      </c>
      <c r="N231" s="58">
        <f t="shared" ca="1" si="50"/>
        <v>0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IFERROR(__xludf.DUMMYFUNCTION("IMPORTRANGE(""https://docs.google.com/spreadsheets/d/1C3CXT74ZlgGe6_JY_1olB1XN4rF0dxEuIIF-xsYjHgg/edit?usp=sharing"",""พรบ!BY87"")"),251010)</f>
        <v>251010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IFERROR(__xludf.DUMMYFUNCTION("IMPORTRANGE(""https://docs.google.com/spreadsheets/d/1AGHcLOeeYFL3K4b9R1dSzyJy00PE_ra89DNTVfnxSWM/edit?usp=sharing"",""รวมที่ทำกิน!J76"")"),17)</f>
        <v>17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IFERROR(__xludf.DUMMYFUNCTION("IMPORTRANGE(""https://docs.google.com/spreadsheets/d/1C3CXT74ZlgGe6_JY_1olB1XN4rF0dxEuIIF-xsYjHgg/edit?usp=sharing"",""พรบ!BZ87"")"),665)</f>
        <v>665</v>
      </c>
      <c r="J235" s="73">
        <f ca="1">IFERROR(__xludf.DUMMYFUNCTION("IMPORTRANGE(""https://docs.google.com/spreadsheets/d/1AGHcLOeeYFL3K4b9R1dSzyJy00PE_ra89DNTVfnxSWM/edit?usp=sharing"",""รวมที่ทำกิน!L76"")"),136.69)</f>
        <v>136.69</v>
      </c>
      <c r="K235" s="215">
        <f t="shared" ca="1" si="52"/>
        <v>20.554887218045113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IFERROR(__xludf.DUMMYFUNCTION("IMPORTRANGE(""https://docs.google.com/spreadsheets/d/1C3CXT74ZlgGe6_JY_1olB1XN4rF0dxEuIIF-xsYjHgg/edit?usp=sharing"",""พรบ!CA87"")"),110)</f>
        <v>110</v>
      </c>
      <c r="J236" s="73">
        <f ca="1">IFERROR(__xludf.DUMMYFUNCTION("IMPORTRANGE(""https://docs.google.com/spreadsheets/d/1AGHcLOeeYFL3K4b9R1dSzyJy00PE_ra89DNTVfnxSWM/edit?usp=sharing"",""รวมที่ทำกิน!O76"")"),12)</f>
        <v>12</v>
      </c>
      <c r="K236" s="215">
        <f t="shared" ca="1" si="52"/>
        <v>10.909090909090908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IFERROR(__xludf.DUMMYFUNCTION("IMPORTRANGE(""https://docs.google.com/spreadsheets/d/1AGHcLOeeYFL3K4b9R1dSzyJy00PE_ra89DNTVfnxSWM/edit?usp=sharing"",""รวมที่ทำกิน!Q76"")"),98.14)</f>
        <v>98.14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IFERROR(__xludf.DUMMYFUNCTION("IMPORTRANGE(""https://docs.google.com/spreadsheets/d/1C3CXT74ZlgGe6_JY_1olB1XN4rF0dxEuIIF-xsYjHgg/edit?usp=sharing"",""พรบ!CB87"")"),110)</f>
        <v>110</v>
      </c>
      <c r="J238" s="73">
        <f ca="1">IFERROR(__xludf.DUMMYFUNCTION("IMPORTRANGE(""https://docs.google.com/spreadsheets/d/1AGHcLOeeYFL3K4b9R1dSzyJy00PE_ra89DNTVfnxSWM/edit?usp=sharing"",""รวมที่ทำกิน!S76"")"),0)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IFERROR(__xludf.DUMMYFUNCTION("IMPORTRANGE(""https://docs.google.com/spreadsheets/d/1AGHcLOeeYFL3K4b9R1dSzyJy00PE_ra89DNTVfnxSWM/edit?usp=sharing"",""รวมที่ทำกิน!U76"")"),0)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IFERROR(__xludf.DUMMYFUNCTION("IMPORTRANGE(""https://docs.google.com/spreadsheets/d/1C3CXT74ZlgGe6_JY_1olB1XN4rF0dxEuIIF-xsYjHgg/edit?usp=sharing"",""พรบ!CC87"")"),110)</f>
        <v>110</v>
      </c>
      <c r="J240" s="73">
        <f ca="1">IFERROR(__xludf.DUMMYFUNCTION("IMPORTRANGE(""https://docs.google.com/spreadsheets/d/1AGHcLOeeYFL3K4b9R1dSzyJy00PE_ra89DNTVfnxSWM/edit?usp=sharing"",""รวมที่ทำกิน!W76"")"),4)</f>
        <v>4</v>
      </c>
      <c r="K240" s="215">
        <f t="shared" ca="1" si="52"/>
        <v>3.6363636363636362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IFERROR(__xludf.DUMMYFUNCTION("IMPORTRANGE(""https://docs.google.com/spreadsheets/d/1AGHcLOeeYFL3K4b9R1dSzyJy00PE_ra89DNTVfnxSWM/edit?usp=sharing"",""รวมที่ทำกิน!Y76"")"),53.25)</f>
        <v>53.25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1063772</v>
      </c>
      <c r="M242" s="230">
        <f t="shared" si="53"/>
        <v>8520</v>
      </c>
      <c r="N242" s="230">
        <f ca="1">+IF(L242&gt;0,M242*100/L242,0)</f>
        <v>0.80092350616485486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30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72420</v>
      </c>
      <c r="M244" s="246">
        <f t="shared" si="56"/>
        <v>3560</v>
      </c>
      <c r="N244" s="246">
        <f ca="1">+IF(L244&gt;0,M244*100/L244,0)</f>
        <v>4.9157691245512289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15</v>
      </c>
      <c r="J245" s="244">
        <f t="shared" si="57"/>
        <v>0</v>
      </c>
      <c r="K245" s="245">
        <f t="shared" ca="1" si="55"/>
        <v>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72420</v>
      </c>
      <c r="M247" s="55">
        <f t="shared" si="59"/>
        <v>3560</v>
      </c>
      <c r="N247" s="55">
        <f t="shared" ca="1" si="58"/>
        <v>4.9157691245512289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IFERROR(__xludf.DUMMYFUNCTION("IMPORTRANGE(""https://docs.google.com/spreadsheets/d/1C3CXT74ZlgGe6_JY_1olB1XN4rF0dxEuIIF-xsYjHgg/edit?usp=sharing"",""งบกองทุน!d87"")"),0)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IFERROR(__xludf.DUMMYFUNCTION("IMPORTRANGE(""https://docs.google.com/spreadsheets/d/1C3CXT74ZlgGe6_JY_1olB1XN4rF0dxEuIIF-xsYjHgg/edit?usp=sharing"",""งบกองทุน!e87"")"),72420)</f>
        <v>72420</v>
      </c>
      <c r="M249" s="58">
        <f>SUM(M250:M253)</f>
        <v>3560</v>
      </c>
      <c r="N249" s="58">
        <f t="shared" ca="1" si="58"/>
        <v>4.9157691245512289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3560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0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IFERROR(__xludf.DUMMYFUNCTION("IMPORTRANGE(""https://docs.google.com/spreadsheets/d/1C3CXT74ZlgGe6_JY_1olB1XN4rF0dxEuIIF-xsYjHgg/edit?usp=sharing"",""งบกองทุน!f87"")"),0)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30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IFERROR(__xludf.DUMMYFUNCTION("IMPORTRANGE(""https://docs.google.com/spreadsheets/d/1C3CXT74ZlgGe6_JY_1olB1XN4rF0dxEuIIF-xsYjHgg/edit?usp=sharing"",""งบกองทุน!H87"")"),15)</f>
        <v>15</v>
      </c>
      <c r="J263" s="73">
        <f>J267</f>
        <v>0</v>
      </c>
      <c r="K263" s="54">
        <f t="shared" ca="1" si="61"/>
        <v>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IFERROR(__xludf.DUMMYFUNCTION("IMPORTRANGE(""https://docs.google.com/spreadsheets/d/1C3CXT74ZlgGe6_JY_1olB1XN4rF0dxEuIIF-xsYjHgg/edit?usp=sharing"",""งบกองทุน!i87"")"),10)</f>
        <v>10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15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IFERROR(__xludf.DUMMYFUNCTION("IMPORTRANGE(""https://docs.google.com/spreadsheets/d/1C3CXT74ZlgGe6_JY_1olB1XN4rF0dxEuIIF-xsYjHgg/edit?usp=sharing"",""งบกองทุน!k87"")"),20)</f>
        <v>20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15</v>
      </c>
      <c r="J267" s="74">
        <v>0</v>
      </c>
      <c r="K267" s="54">
        <f t="shared" ca="1" si="61"/>
        <v>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IFERROR(__xludf.DUMMYFUNCTION("IMPORTRANGE(""https://docs.google.com/spreadsheets/d/1C3CXT74ZlgGe6_JY_1olB1XN4rF0dxEuIIF-xsYjHgg/edit?usp=sharing"",""งบกองทุน!m87"")"),0)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30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IFERROR(__xludf.DUMMYFUNCTION("IMPORTRANGE(""https://docs.google.com/spreadsheets/d/1C3CXT74ZlgGe6_JY_1olB1XN4rF0dxEuIIF-xsYjHgg/edit?usp=sharing"",""งบกองทุน!o87"")"),20)</f>
        <v>20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IFERROR(__xludf.DUMMYFUNCTION("IMPORTRANGE(""https://docs.google.com/spreadsheets/d/1C3CXT74ZlgGe6_JY_1olB1XN4rF0dxEuIIF-xsYjHgg/edit?usp=sharing"",""งบกองทุน!p87"")"),10)</f>
        <v>10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500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460140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50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460140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IFERROR(__xludf.DUMMYFUNCTION("IMPORTRANGE(""https://docs.google.com/spreadsheets/d/1C3CXT74ZlgGe6_JY_1olB1XN4rF0dxEuIIF-xsYjHgg/edit?usp=sharing"",""งบกองทุน!r87"")"),0)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IFERROR(__xludf.DUMMYFUNCTION("IMPORTRANGE(""https://docs.google.com/spreadsheets/d/1C3CXT74ZlgGe6_JY_1olB1XN4rF0dxEuIIF-xsYjHgg/edit?usp=sharing"",""งบกองทุน!s87"")"),460140)</f>
        <v>460140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0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IFERROR(__xludf.DUMMYFUNCTION("IMPORTRANGE(""https://docs.google.com/spreadsheets/d/1C3CXT74ZlgGe6_JY_1olB1XN4rF0dxEuIIF-xsYjHgg/edit?usp=sharing"",""งบกองทุน!v87"")"),50)</f>
        <v>50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IFERROR(__xludf.DUMMYFUNCTION("IMPORTRANGE(""https://docs.google.com/spreadsheets/d/1C3CXT74ZlgGe6_JY_1olB1XN4rF0dxEuIIF-xsYjHgg/edit?usp=sharing"",""งบกองทุน!w87"")"),500)</f>
        <v>500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IFERROR(__xludf.DUMMYFUNCTION("IMPORTRANGE(""https://docs.google.com/spreadsheets/d/1C3CXT74ZlgGe6_JY_1olB1XN4rF0dxEuIIF-xsYjHgg/edit?usp=sharing"",""งบกองทุน!x87"")"),50)</f>
        <v>50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90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116320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30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116320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IFERROR(__xludf.DUMMYFUNCTION("IMPORTRANGE(""https://docs.google.com/spreadsheets/d/1C3CXT74ZlgGe6_JY_1olB1XN4rF0dxEuIIF-xsYjHgg/edit?usp=sharing"",""งบกองทุน!z87"")"),0)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IFERROR(__xludf.DUMMYFUNCTION("IMPORTRANGE(""https://docs.google.com/spreadsheets/d/1C3CXT74ZlgGe6_JY_1olB1XN4rF0dxEuIIF-xsYjHgg/edit?usp=sharing"",""งบกองทุน!aa87"")"),116320)</f>
        <v>116320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0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0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30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IFERROR(__xludf.DUMMYFUNCTION("IMPORTRANGE(""https://docs.google.com/spreadsheets/d/1C3CXT74ZlgGe6_JY_1olB1XN4rF0dxEuIIF-xsYjHgg/edit?usp=sharing"",""งบกองทุน!ae87"")"),10)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IFERROR(__xludf.DUMMYFUNCTION("IMPORTRANGE(""https://docs.google.com/spreadsheets/d/1C3CXT74ZlgGe6_JY_1olB1XN4rF0dxEuIIF-xsYjHgg/edit?usp=sharing"",""งบกองทุน!ad87"")"),30)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IFERROR(__xludf.DUMMYFUNCTION("IMPORTRANGE(""https://docs.google.com/spreadsheets/d/1C3CXT74ZlgGe6_JY_1olB1XN4rF0dxEuIIF-xsYjHgg/edit?usp=sharing"",""งบกองทุน!af87"")"),10)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IFERROR(__xludf.DUMMYFUNCTION("IMPORTRANGE(""https://docs.google.com/spreadsheets/d/1C3CXT74ZlgGe6_JY_1olB1XN4rF0dxEuIIF-xsYjHgg/edit?usp=sharing"",""งบกองทุน!ag87"")"),10)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IFERROR(__xludf.DUMMYFUNCTION("IMPORTRANGE(""https://docs.google.com/spreadsheets/d/1C3CXT74ZlgGe6_JY_1olB1XN4rF0dxEuIIF-xsYjHgg/edit?usp=sharing"",""งบกองทุน!ai87"")"),10)</f>
        <v>10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IFERROR(__xludf.DUMMYFUNCTION("IMPORTRANGE(""https://docs.google.com/spreadsheets/d/1C3CXT74ZlgGe6_JY_1olB1XN4rF0dxEuIIF-xsYjHgg/edit?usp=sharing"",""งบกองทุน!ah87"")"),30)</f>
        <v>30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IFERROR(__xludf.DUMMYFUNCTION("IMPORTRANGE(""https://docs.google.com/spreadsheets/d/1C3CXT74ZlgGe6_JY_1olB1XN4rF0dxEuIIF-xsYjHgg/edit?usp=sharing"",""งบกองทุน!aj87"")"),10)</f>
        <v>10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IFERROR(__xludf.DUMMYFUNCTION("IMPORTRANGE(""https://docs.google.com/spreadsheets/d/1C3CXT74ZlgGe6_JY_1olB1XN4rF0dxEuIIF-xsYjHgg/edit?usp=sharing"",""งบกองทุน!ak87"")"),10)</f>
        <v>10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IFERROR(__xludf.DUMMYFUNCTION("IMPORTRANGE(""https://docs.google.com/spreadsheets/d/1C3CXT74ZlgGe6_JY_1olB1XN4rF0dxEuIIF-xsYjHgg/edit?usp=sharing"",""งบกองทุน!al87"")"),10)</f>
        <v>10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IFERROR(__xludf.DUMMYFUNCTION("IMPORTRANGE(""https://docs.google.com/spreadsheets/d/1C3CXT74ZlgGe6_JY_1olB1XN4rF0dxEuIIF-xsYjHgg/edit?usp=sharing"",""งบกองทุน!an87"")"),10)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IFERROR(__xludf.DUMMYFUNCTION("IMPORTRANGE(""https://docs.google.com/spreadsheets/d/1C3CXT74ZlgGe6_JY_1olB1XN4rF0dxEuIIF-xsYjHgg/edit?usp=sharing"",""งบกองทุน!am87"")"),30)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IFERROR(__xludf.DUMMYFUNCTION("IMPORTRANGE(""https://docs.google.com/spreadsheets/d/1C3CXT74ZlgGe6_JY_1olB1XN4rF0dxEuIIF-xsYjHgg/edit?usp=sharing"",""งบกองทุน!ao87"")"),10)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IFERROR(__xludf.DUMMYFUNCTION("IMPORTRANGE(""https://docs.google.com/spreadsheets/d/1C3CXT74ZlgGe6_JY_1olB1XN4rF0dxEuIIF-xsYjHgg/edit?usp=sharing"",""งบกองทุน!ap87"")"),10)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20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IFERROR(__xludf.DUMMYFUNCTION("IMPORTRANGE(""https://docs.google.com/spreadsheets/d/1C3CXT74ZlgGe6_JY_1olB1XN4rF0dxEuIIF-xsYjHgg/edit?usp=sharing"",""งบกองทุน!ar87"")"),10)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IFERROR(__xludf.DUMMYFUNCTION("IMPORTRANGE(""https://docs.google.com/spreadsheets/d/1C3CXT74ZlgGe6_JY_1olB1XN4rF0dxEuIIF-xsYjHgg/edit?usp=sharing"",""งบกองทุน!as87"")"),10)</f>
        <v>10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15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83000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83000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IFERROR(__xludf.DUMMYFUNCTION("IMPORTRANGE(""https://docs.google.com/spreadsheets/d/1C3CXT74ZlgGe6_JY_1olB1XN4rF0dxEuIIF-xsYjHgg/edit?usp=sharing"",""งบกองทุน!au87"")"),0)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IFERROR(__xludf.DUMMYFUNCTION("IMPORTRANGE(""https://docs.google.com/spreadsheets/d/1C3CXT74ZlgGe6_JY_1olB1XN4rF0dxEuIIF-xsYjHgg/edit?usp=sharing"",""งบกองทุน!av87"")"),83000)</f>
        <v>83000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0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15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IFERROR(__xludf.DUMMYFUNCTION("IMPORTRANGE(""https://docs.google.com/spreadsheets/d/1C3CXT74ZlgGe6_JY_1olB1XN4rF0dxEuIIF-xsYjHgg/edit?usp=sharing"",""งบกองทุน!ay87"")"),15)</f>
        <v>15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IFERROR(__xludf.DUMMYFUNCTION("IMPORTRANGE(""https://docs.google.com/spreadsheets/d/1C3CXT74ZlgGe6_JY_1olB1XN4rF0dxEuIIF-xsYjHgg/edit?usp=sharing"",""งบกองทุน!az87"")"),0)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IFERROR(__xludf.DUMMYFUNCTION("IMPORTRANGE(""https://docs.google.com/spreadsheets/d/1C3CXT74ZlgGe6_JY_1olB1XN4rF0dxEuIIF-xsYjHgg/edit?usp=sharing"",""งบกองทุน!Ba87"")"),0)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19922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163622</v>
      </c>
      <c r="M350" s="246">
        <f t="shared" si="81"/>
        <v>0</v>
      </c>
      <c r="N350" s="246">
        <f t="shared" ref="N350:N354" ca="1" si="82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163622</v>
      </c>
      <c r="M352" s="58">
        <f t="shared" si="83"/>
        <v>0</v>
      </c>
      <c r="N352" s="58">
        <f t="shared" ca="1" si="82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IFERROR(__xludf.DUMMYFUNCTION("IMPORTRANGE(""https://docs.google.com/spreadsheets/d/1C3CXT74ZlgGe6_JY_1olB1XN4rF0dxEuIIF-xsYjHgg/edit?usp=sharing"",""งบกองทุน!Bc87"")"),0)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IFERROR(__xludf.DUMMYFUNCTION("IMPORTRANGE(""https://docs.google.com/spreadsheets/d/1C3CXT74ZlgGe6_JY_1olB1XN4rF0dxEuIIF-xsYjHgg/edit?usp=sharing"",""งบกองทุน!Bd87"")"),163622)</f>
        <v>163622</v>
      </c>
      <c r="M354" s="58">
        <f>SUM(M355:M358)</f>
        <v>0</v>
      </c>
      <c r="N354" s="58">
        <f t="shared" ca="1" si="82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IFERROR(__xludf.DUMMYFUNCTION("IMPORTRANGE(""https://docs.google.com/spreadsheets/d/1C3CXT74ZlgGe6_JY_1olB1XN4rF0dxEuIIF-xsYjHgg/edit?usp=sharing"",""งบกองทุน!BE87"")"),19922)</f>
        <v>19922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19922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IFERROR(__xludf.DUMMYFUNCTION("IMPORTRANGE(""https://docs.google.com/spreadsheets/d/1C3CXT74ZlgGe6_JY_1olB1XN4rF0dxEuIIF-xsYjHgg/edit?usp=sharing"",""งบกองทุน!BF87"")"),2094)</f>
        <v>2094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19922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2094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19922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2094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IFERROR(__xludf.DUMMYFUNCTION("IMPORTRANGE(""https://docs.google.com/spreadsheets/d/1C3CXT74ZlgGe6_JY_1olB1XN4rF0dxEuIIF-xsYjHgg/edit?usp=sharing"",""งบกองทุน!cd87"")"),71)</f>
        <v>71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IFERROR(__xludf.DUMMYFUNCTION("IMPORTRANGE(""https://docs.google.com/spreadsheets/d/1C3CXT74ZlgGe6_JY_1olB1XN4rF0dxEuIIF-xsYjHgg/edit?usp=sharing"",""งบกองทุน!cd87"")"),71)</f>
        <v>71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IFERROR(__xludf.DUMMYFUNCTION("IMPORTRANGE(""https://docs.google.com/spreadsheets/d/1C3CXT74ZlgGe6_JY_1olB1XN4rF0dxEuIIF-xsYjHgg/edit?usp=sharing"",""งบกองทุน!cc87"")"),8)</f>
        <v>8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IFERROR(__xludf.DUMMYFUNCTION("IMPORTRANGE(""https://docs.google.com/spreadsheets/d/1C3CXT74ZlgGe6_JY_1olB1XN4rF0dxEuIIF-xsYjHgg/edit?usp=sharing"",""งบกองทุน!cz87"")"),0)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IFERROR(__xludf.DUMMYFUNCTION("IMPORTRANGE(""https://docs.google.com/spreadsheets/d/1C3CXT74ZlgGe6_JY_1olB1XN4rF0dxEuIIF-xsYjHgg/edit?usp=sharing"",""งบกองทุน!cz87"")"),0)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IFERROR(__xludf.DUMMYFUNCTION("IMPORTRANGE(""https://docs.google.com/spreadsheets/d/1C3CXT74ZlgGe6_JY_1olB1XN4rF0dxEuIIF-xsYjHgg/edit?usp=sharing"",""งบกองทุน!cy87"")"),0)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IFERROR(__xludf.DUMMYFUNCTION("IMPORTRANGE(""https://docs.google.com/spreadsheets/d/1C3CXT74ZlgGe6_JY_1olB1XN4rF0dxEuIIF-xsYjHgg/edit?usp=sharing"",""งบกองทุน!db87"")"),0)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IFERROR(__xludf.DUMMYFUNCTION("IMPORTRANGE(""https://docs.google.com/spreadsheets/d/1C3CXT74ZlgGe6_JY_1olB1XN4rF0dxEuIIF-xsYjHgg/edit?usp=sharing"",""งบกองทุน!da87"")"),0)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IFERROR(__xludf.DUMMYFUNCTION("IMPORTRANGE(""https://docs.google.com/spreadsheets/d/1C3CXT74ZlgGe6_JY_1olB1XN4rF0dxEuIIF-xsYjHgg/edit?usp=sharing"",""งบกองทุน!dd87"")"),0)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IFERROR(__xludf.DUMMYFUNCTION("IMPORTRANGE(""https://docs.google.com/spreadsheets/d/1C3CXT74ZlgGe6_JY_1olB1XN4rF0dxEuIIF-xsYjHgg/edit?usp=sharing"",""งบกองทุน!dc87"")"),0)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IFERROR(__xludf.DUMMYFUNCTION("IMPORTRANGE(""https://docs.google.com/spreadsheets/d/1C3CXT74ZlgGe6_JY_1olB1XN4rF0dxEuIIF-xsYjHgg/edit?usp=sharing"",""งบกองทุน!df87"")"),0)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IFERROR(__xludf.DUMMYFUNCTION("IMPORTRANGE(""https://docs.google.com/spreadsheets/d/1C3CXT74ZlgGe6_JY_1olB1XN4rF0dxEuIIF-xsYjHgg/edit?usp=sharing"",""งบกองทุน!de87"")"),0)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24</v>
      </c>
      <c r="J426" s="275">
        <f t="shared" si="95"/>
        <v>0</v>
      </c>
      <c r="K426" s="276">
        <f ca="1">IF(I426&gt;0,J426*100/I426,0)</f>
        <v>0</v>
      </c>
      <c r="L426" s="277">
        <f t="shared" ref="L426:M426" ca="1" si="96">SUM(L427:L428)</f>
        <v>36040</v>
      </c>
      <c r="M426" s="277">
        <f t="shared" si="96"/>
        <v>1840</v>
      </c>
      <c r="N426" s="277">
        <f t="shared" ref="N426:N430" ca="1" si="97">+IF(L426&gt;0,M426*100/L426,0)</f>
        <v>5.105438401775805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36040</v>
      </c>
      <c r="M428" s="58">
        <f t="shared" si="98"/>
        <v>1840</v>
      </c>
      <c r="N428" s="58">
        <f t="shared" ca="1" si="97"/>
        <v>5.105438401775805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IFERROR(__xludf.DUMMYFUNCTION("IMPORTRANGE(""https://docs.google.com/spreadsheets/d/1C3CXT74ZlgGe6_JY_1olB1XN4rF0dxEuIIF-xsYjHgg/edit?usp=sharing"",""งบกองทุน!dn87"")"),0)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IFERROR(__xludf.DUMMYFUNCTION("IMPORTRANGE(""https://docs.google.com/spreadsheets/d/1C3CXT74ZlgGe6_JY_1olB1XN4rF0dxEuIIF-xsYjHgg/edit?usp=sharing"",""งบกองทุน!do87"")"),36040)</f>
        <v>36040</v>
      </c>
      <c r="M430" s="58">
        <f>SUM(M431:M434)</f>
        <v>1840</v>
      </c>
      <c r="N430" s="58">
        <f t="shared" ca="1" si="97"/>
        <v>5.105438401775805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1840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0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IFERROR(__xludf.DUMMYFUNCTION("IMPORTRANGE(""https://docs.google.com/spreadsheets/d/1C3CXT74ZlgGe6_JY_1olB1XN4rF0dxEuIIF-xsYjHgg/edit?usp=sharing"",""งบกองทุน!dq87"")"),24)</f>
        <v>24</v>
      </c>
      <c r="J440" s="74">
        <v>0</v>
      </c>
      <c r="K440" s="54">
        <f t="shared" ref="K440:K441" ca="1" si="99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IFERROR(__xludf.DUMMYFUNCTION("IMPORTRANGE(""https://docs.google.com/spreadsheets/d/1C3CXT74ZlgGe6_JY_1olB1XN4rF0dxEuIIF-xsYjHgg/edit?usp=sharing"",""งบกองทุน!dr87"")"),24)</f>
        <v>24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IFERROR(__xludf.DUMMYFUNCTION("IMPORTRANGE(""https://docs.google.com/spreadsheets/d/1C3CXT74ZlgGe6_JY_1olB1XN4rF0dxEuIIF-xsYjHgg/edit?usp=sharing"",""งบกองทุน!dt87"")"),0)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IFERROR(__xludf.DUMMYFUNCTION("IMPORTRANGE(""https://docs.google.com/spreadsheets/d/1C3CXT74ZlgGe6_JY_1olB1XN4rF0dxEuIIF-xsYjHgg/edit?usp=sharing"",""งบกองทุน!du87"")"),0)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IFERROR(__xludf.DUMMYFUNCTION("IMPORTRANGE(""https://docs.google.com/spreadsheets/d/1C3CXT74ZlgGe6_JY_1olB1XN4rF0dxEuIIF-xsYjHgg/edit?usp=sharing"",""งบกองทุน!dw87"")"),0)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IFERROR(__xludf.DUMMYFUNCTION("IMPORTRANGE(""https://docs.google.com/spreadsheets/d/1C3CXT74ZlgGe6_JY_1olB1XN4rF0dxEuIIF-xsYjHgg/edit?usp=sharing"",""งบกองทุน!dx87"")"),0)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IFERROR(__xludf.DUMMYFUNCTION("IMPORTRANGE(""https://docs.google.com/spreadsheets/d/1C3CXT74ZlgGe6_JY_1olB1XN4rF0dxEuIIF-xsYjHgg/edit?usp=sharing"",""งบกองทุน!dy87"")"),0)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IFERROR(__xludf.DUMMYFUNCTION("IMPORTRANGE(""https://docs.google.com/spreadsheets/d/1C3CXT74ZlgGe6_JY_1olB1XN4rF0dxEuIIF-xsYjHgg/edit?usp=sharing"",""งบกองทุน!dz87"")"),0)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400</v>
      </c>
      <c r="J457" s="244">
        <f>+J466</f>
        <v>0</v>
      </c>
      <c r="K457" s="245">
        <f t="shared" ca="1" si="104"/>
        <v>0</v>
      </c>
      <c r="L457" s="246">
        <f t="shared" ref="L457:M457" ca="1" si="105">SUM(L458:L459)</f>
        <v>126880</v>
      </c>
      <c r="M457" s="246">
        <f t="shared" si="105"/>
        <v>1200</v>
      </c>
      <c r="N457" s="246">
        <f t="shared" ref="N457:N461" ca="1" si="106">+IF(L457&gt;0,M457*100/L457,0)</f>
        <v>0.94577553593947039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126880</v>
      </c>
      <c r="M459" s="58">
        <f t="shared" si="107"/>
        <v>1200</v>
      </c>
      <c r="N459" s="58">
        <f t="shared" ca="1" si="106"/>
        <v>0.94577553593947039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IFERROR(__xludf.DUMMYFUNCTION("IMPORTRANGE(""https://docs.google.com/spreadsheets/d/1C3CXT74ZlgGe6_JY_1olB1XN4rF0dxEuIIF-xsYjHgg/edit?usp=sharing"",""งบกองทุน!Eb87"")"),0)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IFERROR(__xludf.DUMMYFUNCTION("IMPORTRANGE(""https://docs.google.com/spreadsheets/d/1C3CXT74ZlgGe6_JY_1olB1XN4rF0dxEuIIF-xsYjHgg/edit?usp=sharing"",""งบกองทุน!Ec87"")"),126880)</f>
        <v>126880</v>
      </c>
      <c r="M461" s="58">
        <f>SUM(M462:M465)</f>
        <v>1200</v>
      </c>
      <c r="N461" s="58">
        <f t="shared" ca="1" si="106"/>
        <v>0.94577553593947039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1200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IFERROR(__xludf.DUMMYFUNCTION("IMPORTRANGE(""https://docs.google.com/spreadsheets/d/1C3CXT74ZlgGe6_JY_1olB1XN4rF0dxEuIIF-xsYjHgg/edit?usp=sharing"",""งบกองทุน!Ed87"")"),400)</f>
        <v>400</v>
      </c>
      <c r="J466" s="283">
        <f>+J469+J470+J471+J472</f>
        <v>0</v>
      </c>
      <c r="K466" s="85">
        <f ca="1">IF(I466&gt;0,J466*100/I466,0)</f>
        <v>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0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IFERROR(__xludf.DUMMYFUNCTION("IMPORTRANGE(""https://docs.google.com/spreadsheets/d/1C3CXT74ZlgGe6_JY_1olB1XN4rF0dxEuIIF-xsYjHgg/edit?usp=sharing"",""งบกองทุน!Ek87"")"),0)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IFERROR(__xludf.DUMMYFUNCTION("IMPORTRANGE(""https://docs.google.com/spreadsheets/d/1C3CXT74ZlgGe6_JY_1olB1XN4rF0dxEuIIF-xsYjHgg/edit?usp=sharing"",""งบกองทุน!El87"")"),0)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IFERROR(__xludf.DUMMYFUNCTION("IMPORTRANGE(""https://docs.google.com/spreadsheets/d/1C3CXT74ZlgGe6_JY_1olB1XN4rF0dxEuIIF-xsYjHgg/edit?usp=sharing"",""งบกองทุน!Em87"")"),0)</f>
        <v>0</v>
      </c>
      <c r="J482" s="73">
        <f ca="1">IFERROR(__xludf.DUMMYFUNCTION("IMPORTRANGE(""https://docs.google.com/spreadsheets/d/1AGHcLOeeYFL3K4b9R1dSzyJy00PE_ra89DNTVfnxSWM/edit?usp=sharing"",""รวมที่ชุมชน!G76"")"),0)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IFERROR(__xludf.DUMMYFUNCTION("IMPORTRANGE(""https://docs.google.com/spreadsheets/d/1AGHcLOeeYFL3K4b9R1dSzyJy00PE_ra89DNTVfnxSWM/edit?usp=sharing"",""รวมที่ชุมชน!H76"")"),0)</f>
        <v>0</v>
      </c>
      <c r="K483" s="250">
        <f t="shared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IFERROR(__xludf.DUMMYFUNCTION("IMPORTRANGE(""https://docs.google.com/spreadsheets/d/1C3CXT74ZlgGe6_JY_1olB1XN4rF0dxEuIIF-xsYjHgg/edit?usp=sharing"",""งบกองทุน!Eo87"")"),0)</f>
        <v>0</v>
      </c>
      <c r="J484" s="73">
        <f ca="1">IFERROR(__xludf.DUMMYFUNCTION("IMPORTRANGE(""https://docs.google.com/spreadsheets/d/1AGHcLOeeYFL3K4b9R1dSzyJy00PE_ra89DNTVfnxSWM/edit?usp=sharing"",""รวมที่ชุมชน!J76"")"),0)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IFERROR(__xludf.DUMMYFUNCTION("IMPORTRANGE(""https://docs.google.com/spreadsheets/d/1AGHcLOeeYFL3K4b9R1dSzyJy00PE_ra89DNTVfnxSWM/edit?usp=sharing"",""รวมที่ชุมชน!L76"")"),0)</f>
        <v>0</v>
      </c>
      <c r="K485" s="250">
        <f t="shared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IFERROR(__xludf.DUMMYFUNCTION("IMPORTRANGE(""https://docs.google.com/spreadsheets/d/1C3CXT74ZlgGe6_JY_1olB1XN4rF0dxEuIIF-xsYjHgg/edit?usp=sharing"",""งบกองทุน!Eq87"")"),0)</f>
        <v>0</v>
      </c>
      <c r="J486" s="73">
        <f ca="1">IFERROR(__xludf.DUMMYFUNCTION("IMPORTRANGE(""https://docs.google.com/spreadsheets/d/1AGHcLOeeYFL3K4b9R1dSzyJy00PE_ra89DNTVfnxSWM/edit?usp=sharing"",""รวมที่ชุมชน!S76"")"),0)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IFERROR(__xludf.DUMMYFUNCTION("IMPORTRANGE(""https://docs.google.com/spreadsheets/d/1AGHcLOeeYFL3K4b9R1dSzyJy00PE_ra89DNTVfnxSWM/edit?usp=sharing"",""รวมที่ชุมชน!U76"")"),0)</f>
        <v>0</v>
      </c>
      <c r="K487" s="250">
        <f t="shared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IFERROR(__xludf.DUMMYFUNCTION("IMPORTRANGE(""https://docs.google.com/spreadsheets/d/1C3CXT74ZlgGe6_JY_1olB1XN4rF0dxEuIIF-xsYjHgg/edit?usp=sharing"",""งบกองทุน!Es87"")"),0)</f>
        <v>0</v>
      </c>
      <c r="J488" s="73">
        <f ca="1">IFERROR(__xludf.DUMMYFUNCTION("IMPORTRANGE(""https://docs.google.com/spreadsheets/d/1AGHcLOeeYFL3K4b9R1dSzyJy00PE_ra89DNTVfnxSWM/edit?usp=sharing"",""รวมที่ชุมชน!V76"")"),0)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IFERROR(__xludf.DUMMYFUNCTION("IMPORTRANGE(""https://docs.google.com/spreadsheets/d/1AGHcLOeeYFL3K4b9R1dSzyJy00PE_ra89DNTVfnxSWM/edit?usp=sharing"",""รวมที่ชุมชน!X76"")"),0)</f>
        <v>0</v>
      </c>
      <c r="K489" s="385">
        <f t="shared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5350</v>
      </c>
      <c r="M490" s="277">
        <f>SUM(M491:M492)</f>
        <v>1920</v>
      </c>
      <c r="N490" s="277">
        <f t="shared" ref="N490:N494" ca="1" si="113">+IF(L490&gt;0,M490*100/L490,0)</f>
        <v>35.887850467289717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5350</v>
      </c>
      <c r="M492" s="58">
        <f t="shared" si="114"/>
        <v>1920</v>
      </c>
      <c r="N492" s="58">
        <f t="shared" ca="1" si="113"/>
        <v>35.887850467289717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IFERROR(__xludf.DUMMYFUNCTION("IMPORTRANGE(""https://docs.google.com/spreadsheets/d/1C3CXT74ZlgGe6_JY_1olB1XN4rF0dxEuIIF-xsYjHgg/edit?usp=sharing"",""งบกองทุน!Ev87"")"),0)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IFERROR(__xludf.DUMMYFUNCTION("IMPORTRANGE(""https://docs.google.com/spreadsheets/d/1C3CXT74ZlgGe6_JY_1olB1XN4rF0dxEuIIF-xsYjHgg/edit?usp=sharing"",""งบกองทุน!Ew87"")"),5350)</f>
        <v>5350</v>
      </c>
      <c r="M494" s="58">
        <f>SUM(M495:M498)</f>
        <v>1920</v>
      </c>
      <c r="N494" s="58">
        <f t="shared" ca="1" si="113"/>
        <v>35.887850467289717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1920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IFERROR(__xludf.DUMMYFUNCTION("IMPORTRANGE(""https://docs.google.com/spreadsheets/d/1C3CXT74ZlgGe6_JY_1olB1XN4rF0dxEuIIF-xsYjHgg/edit?usp=sharing"",""งบกองทุน!EZ87"")"),50)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IFERROR(__xludf.DUMMYFUNCTION("IMPORTRANGE(""https://docs.google.com/spreadsheets/d/1C3CXT74ZlgGe6_JY_1olB1XN4rF0dxEuIIF-xsYjHgg/edit?usp=sharing"",""งบกองทุน!ff87"")"),0)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IFERROR(__xludf.DUMMYFUNCTION("IMPORTRANGE(""https://docs.google.com/spreadsheets/d/1muirlRDkqiswvy_NRZ3Yh955hx-PF6_HhssUYiSJj8o/edit?usp=sharing"",""กองทุน!D87"")"),1201269.01)</f>
        <v>1201269.01</v>
      </c>
      <c r="J521" s="214">
        <f ca="1">IFERROR(__xludf.DUMMYFUNCTION("IMPORTRANGE(""https://docs.google.com/spreadsheets/d/1muirlRDkqiswvy_NRZ3Yh955hx-PF6_HhssUYiSJj8o/edit?usp=sharing"",""กองทุน!F87"")"),0)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IFERROR(__xludf.DUMMYFUNCTION("IMPORTRANGE(""https://docs.google.com/spreadsheets/d/1muirlRDkqiswvy_NRZ3Yh955hx-PF6_HhssUYiSJj8o/edit?usp=sharing"",""กองทุน!C87"")"),91)</f>
        <v>91</v>
      </c>
      <c r="J522" s="214">
        <f ca="1">IFERROR(__xludf.DUMMYFUNCTION("IMPORTRANGE(""https://docs.google.com/spreadsheets/d/1muirlRDkqiswvy_NRZ3Yh955hx-PF6_HhssUYiSJj8o/edit?usp=sharing"",""กองทุน!E87"")"),0)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IFERROR(__xludf.DUMMYFUNCTION("IMPORTRANGE(""https://docs.google.com/spreadsheets/d/1muirlRDkqiswvy_NRZ3Yh955hx-PF6_HhssUYiSJj8o/edit?usp=sharing"",""กองทุน!I87"")"),363408.27)</f>
        <v>363408.27</v>
      </c>
      <c r="J523" s="214">
        <f ca="1">IFERROR(__xludf.DUMMYFUNCTION("IMPORTRANGE(""https://docs.google.com/spreadsheets/d/1muirlRDkqiswvy_NRZ3Yh955hx-PF6_HhssUYiSJj8o/edit?usp=sharing"",""กองทุน!K87"")"),34513.47)</f>
        <v>34513.47</v>
      </c>
      <c r="K523" s="215">
        <f t="shared" ca="1" si="118"/>
        <v>9.4971614157267243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IFERROR(__xludf.DUMMYFUNCTION("IMPORTRANGE(""https://docs.google.com/spreadsheets/d/1muirlRDkqiswvy_NRZ3Yh955hx-PF6_HhssUYiSJj8o/edit?usp=sharing"",""กองทุน!H87"")"),15)</f>
        <v>15</v>
      </c>
      <c r="J524" s="214">
        <f ca="1">IFERROR(__xludf.DUMMYFUNCTION("IMPORTRANGE(""https://docs.google.com/spreadsheets/d/1muirlRDkqiswvy_NRZ3Yh955hx-PF6_HhssUYiSJj8o/edit?usp=sharing"",""กองทุน!J87"")"),8)</f>
        <v>8</v>
      </c>
      <c r="K524" s="215">
        <f t="shared" ca="1" si="118"/>
        <v>53.333333333333336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IFERROR(__xludf.DUMMYFUNCTION("IMPORTRANGE(""https://docs.google.com/spreadsheets/d/1muirlRDkqiswvy_NRZ3Yh955hx-PF6_HhssUYiSJj8o/edit?usp=sharing"",""กองทุน!N87"")"),17992.36)</f>
        <v>17992.36</v>
      </c>
      <c r="J525" s="214">
        <f ca="1">IFERROR(__xludf.DUMMYFUNCTION("IMPORTRANGE(""https://docs.google.com/spreadsheets/d/1muirlRDkqiswvy_NRZ3Yh955hx-PF6_HhssUYiSJj8o/edit?usp=sharing"",""กองทุน!P87"")"),0)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IFERROR(__xludf.DUMMYFUNCTION("IMPORTRANGE(""https://docs.google.com/spreadsheets/d/1muirlRDkqiswvy_NRZ3Yh955hx-PF6_HhssUYiSJj8o/edit?usp=sharing"",""กองทุน!M87"")"),49)</f>
        <v>49</v>
      </c>
      <c r="J526" s="214">
        <f ca="1">IFERROR(__xludf.DUMMYFUNCTION("IMPORTRANGE(""https://docs.google.com/spreadsheets/d/1muirlRDkqiswvy_NRZ3Yh955hx-PF6_HhssUYiSJj8o/edit?usp=sharing"",""กองทุน!O87"")"),0)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IFERROR(__xludf.DUMMYFUNCTION("IMPORTRANGE(""https://docs.google.com/spreadsheets/d/1muirlRDkqiswvy_NRZ3Yh955hx-PF6_HhssUYiSJj8o/edit?usp=sharing"",""กองทุน!S87"")"),600000)</f>
        <v>600000</v>
      </c>
      <c r="J527" s="214">
        <f ca="1">IFERROR(__xludf.DUMMYFUNCTION("IMPORTRANGE(""https://docs.google.com/spreadsheets/d/1muirlRDkqiswvy_NRZ3Yh955hx-PF6_HhssUYiSJj8o/edit?usp=sharing"",""กองทุน!U87"")"),0)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IFERROR(__xludf.DUMMYFUNCTION("IMPORTRANGE(""https://docs.google.com/spreadsheets/d/1muirlRDkqiswvy_NRZ3Yh955hx-PF6_HhssUYiSJj8o/edit?usp=sharing"",""กองทุน!R87"")"),15)</f>
        <v>15</v>
      </c>
      <c r="J528" s="342">
        <f ca="1">IFERROR(__xludf.DUMMYFUNCTION("IMPORTRANGE(""https://docs.google.com/spreadsheets/d/1muirlRDkqiswvy_NRZ3Yh955hx-PF6_HhssUYiSJj8o/edit?usp=sharing"",""กองทุน!T87"")"),0)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view="pageBreakPreview" zoomScale="60" zoomScaleNormal="100" workbookViewId="0">
      <selection activeCell="J17" sqref="J17"/>
    </sheetView>
  </sheetViews>
  <sheetFormatPr defaultColWidth="12.625" defaultRowHeight="15" customHeight="1" x14ac:dyDescent="0.55000000000000004"/>
  <cols>
    <col min="1" max="1" width="2.75" style="1" customWidth="1"/>
    <col min="2" max="2" width="3.875" style="1" customWidth="1"/>
    <col min="3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227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1548615</v>
      </c>
      <c r="M6" s="18">
        <f t="shared" si="0"/>
        <v>166850.78</v>
      </c>
      <c r="N6" s="19">
        <f ca="1">IF(L6&gt;0,M6*100/L6,0)</f>
        <v>10.774193715029236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1</v>
      </c>
      <c r="K9" s="44">
        <f t="shared" ref="K9:K10" ca="1" si="2">IF(I9&gt;0,J9*100/I9,0)</f>
        <v>100</v>
      </c>
      <c r="L9" s="45">
        <f ca="1">L11+L12</f>
        <v>580200</v>
      </c>
      <c r="M9" s="45">
        <f>SUM(M11:M12)</f>
        <v>47354.63</v>
      </c>
      <c r="N9" s="44">
        <f ca="1">IF(L9&gt;0,M9*100/L9,0)</f>
        <v>8.1617769734574281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30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IFERROR(__xludf.DUMMYFUNCTION("IMPORTRANGE(""https://docs.google.com/spreadsheets/d/1C3CXT74ZlgGe6_JY_1olB1XN4rF0dxEuIIF-xsYjHgg/edit?usp=sharing"",""พรบ!C88"")"),580200)</f>
        <v>580200</v>
      </c>
      <c r="M12" s="55">
        <f>SUM(M13:M14)</f>
        <v>47354.63</v>
      </c>
      <c r="N12" s="55">
        <f t="shared" ca="1" si="4"/>
        <v>8.1617769734574281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IFERROR(__xludf.DUMMYFUNCTION("IMPORTRANGE(""https://docs.google.com/spreadsheets/d/1C3CXT74ZlgGe6_JY_1olB1XN4rF0dxEuIIF-xsYjHgg/edit?usp=sharing"",""พรบ!D88"")"),188200)</f>
        <v>188200</v>
      </c>
      <c r="M13" s="59">
        <v>38021.39</v>
      </c>
      <c r="N13" s="58">
        <f t="shared" ca="1" si="4"/>
        <v>20.202651434643997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IFERROR(__xludf.DUMMYFUNCTION("IMPORTRANGE(""https://docs.google.com/spreadsheets/d/1C3CXT74ZlgGe6_JY_1olB1XN4rF0dxEuIIF-xsYjHgg/edit?usp=sharing"",""พรบ!E88"")"),392000)</f>
        <v>392000</v>
      </c>
      <c r="M14" s="59">
        <v>9333.24</v>
      </c>
      <c r="N14" s="58">
        <f t="shared" ca="1" si="4"/>
        <v>2.3809285714285715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4">
        <v>0</v>
      </c>
      <c r="K16" s="54"/>
      <c r="L16" s="66"/>
      <c r="M16" s="66"/>
      <c r="N16" s="66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4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4">
        <v>1</v>
      </c>
      <c r="K18" s="54"/>
      <c r="L18" s="66"/>
      <c r="M18" s="66"/>
      <c r="N18" s="66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4">
        <v>1</v>
      </c>
      <c r="K19" s="54"/>
      <c r="L19" s="66"/>
      <c r="M19" s="66"/>
      <c r="N19" s="66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1</v>
      </c>
      <c r="K20" s="85">
        <f ca="1">IF(I20&gt;0,J20*100/I20,0)</f>
        <v>100</v>
      </c>
      <c r="L20" s="66"/>
      <c r="M20" s="66"/>
      <c r="N20" s="66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30</v>
      </c>
      <c r="J21" s="84">
        <f t="shared" si="6"/>
        <v>0</v>
      </c>
      <c r="K21" s="85">
        <f t="shared" ref="K21:K28" ca="1" si="7">IF(I21&gt;0,J21*100/I21,0)</f>
        <v>0</v>
      </c>
      <c r="L21" s="66"/>
      <c r="M21" s="66"/>
      <c r="N21" s="66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IFERROR(__xludf.DUMMYFUNCTION("IMPORTRANGE(""https://docs.google.com/spreadsheets/d/1C3CXT74ZlgGe6_JY_1olB1XN4rF0dxEuIIF-xsYjHgg/edit?usp=sharing"",""พรบ!H88"")"),1)</f>
        <v>1</v>
      </c>
      <c r="J22" s="74">
        <v>1</v>
      </c>
      <c r="K22" s="54">
        <f t="shared" ca="1" si="7"/>
        <v>100</v>
      </c>
      <c r="L22" s="66"/>
      <c r="M22" s="66"/>
      <c r="N22" s="66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IFERROR(__xludf.DUMMYFUNCTION("IMPORTRANGE(""https://docs.google.com/spreadsheets/d/1C3CXT74ZlgGe6_JY_1olB1XN4rF0dxEuIIF-xsYjHgg/edit?usp=sharing"",""พรบ!I88"")"),30)</f>
        <v>30</v>
      </c>
      <c r="J23" s="74">
        <v>0</v>
      </c>
      <c r="K23" s="54">
        <f t="shared" ca="1" si="7"/>
        <v>0</v>
      </c>
      <c r="L23" s="66"/>
      <c r="M23" s="66"/>
      <c r="N23" s="66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IFERROR(__xludf.DUMMYFUNCTION("IMPORTRANGE(""https://docs.google.com/spreadsheets/d/1C3CXT74ZlgGe6_JY_1olB1XN4rF0dxEuIIF-xsYjHgg/edit?usp=sharing"",""พรบ!J88"")"),0)</f>
        <v>0</v>
      </c>
      <c r="J24" s="74">
        <v>0</v>
      </c>
      <c r="K24" s="54">
        <f t="shared" ca="1" si="7"/>
        <v>0</v>
      </c>
      <c r="L24" s="66"/>
      <c r="M24" s="66"/>
      <c r="N24" s="66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IFERROR(__xludf.DUMMYFUNCTION("IMPORTRANGE(""https://docs.google.com/spreadsheets/d/1C3CXT74ZlgGe6_JY_1olB1XN4rF0dxEuIIF-xsYjHgg/edit?usp=sharing"",""พรบ!K88"")"),0)</f>
        <v>0</v>
      </c>
      <c r="J25" s="74">
        <v>0</v>
      </c>
      <c r="K25" s="54">
        <f t="shared" ca="1" si="7"/>
        <v>0</v>
      </c>
      <c r="L25" s="66"/>
      <c r="M25" s="66"/>
      <c r="N25" s="66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IFERROR(__xludf.DUMMYFUNCTION("IMPORTRANGE(""https://docs.google.com/spreadsheets/d/1C3CXT74ZlgGe6_JY_1olB1XN4rF0dxEuIIF-xsYjHgg/edit?usp=sharing"",""พรบ!L88"")"),0)</f>
        <v>0</v>
      </c>
      <c r="J26" s="74">
        <v>0</v>
      </c>
      <c r="K26" s="54">
        <f t="shared" ca="1" si="7"/>
        <v>0</v>
      </c>
      <c r="L26" s="66"/>
      <c r="M26" s="66"/>
      <c r="N26" s="66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IFERROR(__xludf.DUMMYFUNCTION("IMPORTRANGE(""https://docs.google.com/spreadsheets/d/1C3CXT74ZlgGe6_JY_1olB1XN4rF0dxEuIIF-xsYjHgg/edit?usp=sharing"",""พรบ!M88"")"),0)</f>
        <v>0</v>
      </c>
      <c r="J27" s="74">
        <v>0</v>
      </c>
      <c r="K27" s="54">
        <f t="shared" ca="1" si="7"/>
        <v>0</v>
      </c>
      <c r="L27" s="66"/>
      <c r="M27" s="66"/>
      <c r="N27" s="66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53">
        <v>0</v>
      </c>
      <c r="J28" s="74">
        <v>0</v>
      </c>
      <c r="K28" s="54">
        <f t="shared" si="7"/>
        <v>0</v>
      </c>
      <c r="L28" s="66"/>
      <c r="M28" s="66"/>
      <c r="N28" s="66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4">
        <v>0</v>
      </c>
      <c r="K29" s="54"/>
      <c r="L29" s="66"/>
      <c r="M29" s="66"/>
      <c r="N29" s="66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90">
        <v>0</v>
      </c>
      <c r="K30" s="54"/>
      <c r="L30" s="66"/>
      <c r="M30" s="66"/>
      <c r="N30" s="66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122100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1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IFERROR(__xludf.DUMMYFUNCTION("IMPORTRANGE(""https://docs.google.com/spreadsheets/d/1C3CXT74ZlgGe6_JY_1olB1XN4rF0dxEuIIF-xsYjHgg/edit?usp=sharing"",""พรบ!O88"")"),122100)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IFERROR(__xludf.DUMMYFUNCTION("IMPORTRANGE(""https://docs.google.com/spreadsheets/d/1C3CXT74ZlgGe6_JY_1olB1XN4rF0dxEuIIF-xsYjHgg/edit?usp=sharing"",""พรบ!P88"")"),0)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IFERROR(__xludf.DUMMYFUNCTION("IMPORTRANGE(""https://docs.google.com/spreadsheets/d/1C3CXT74ZlgGe6_JY_1olB1XN4rF0dxEuIIF-xsYjHgg/edit?usp=sharing"",""พรบ!Q88"")"),122100)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4">
        <v>0</v>
      </c>
      <c r="K39" s="54"/>
      <c r="L39" s="66"/>
      <c r="M39" s="66"/>
      <c r="N39" s="66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4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4">
        <v>1</v>
      </c>
      <c r="K41" s="54"/>
      <c r="L41" s="66"/>
      <c r="M41" s="66"/>
      <c r="N41" s="66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4">
        <v>1</v>
      </c>
      <c r="K42" s="54"/>
      <c r="L42" s="66"/>
      <c r="M42" s="66"/>
      <c r="N42" s="66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IFERROR(__xludf.DUMMYFUNCTION("IMPORTRANGE(""https://docs.google.com/spreadsheets/d/1C3CXT74ZlgGe6_JY_1olB1XN4rF0dxEuIIF-xsYjHgg/edit?usp=sharing"",""พรบ!R88"")"),1)</f>
        <v>1</v>
      </c>
      <c r="J43" s="74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IFERROR(__xludf.DUMMYFUNCTION("IMPORTRANGE(""https://docs.google.com/spreadsheets/d/1C3CXT74ZlgGe6_JY_1olB1XN4rF0dxEuIIF-xsYjHgg/edit?usp=sharing"",""พรบ!S88"")"),4)</f>
        <v>4</v>
      </c>
      <c r="J44" s="74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IFERROR(__xludf.DUMMYFUNCTION("IMPORTRANGE(""https://docs.google.com/spreadsheets/d/1C3CXT74ZlgGe6_JY_1olB1XN4rF0dxEuIIF-xsYjHgg/edit?usp=sharing"",""พรบ!T88"")"),4)</f>
        <v>4</v>
      </c>
      <c r="J45" s="74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IFERROR(__xludf.DUMMYFUNCTION("IMPORTRANGE(""https://docs.google.com/spreadsheets/d/1C3CXT74ZlgGe6_JY_1olB1XN4rF0dxEuIIF-xsYjHgg/edit?usp=sharing"",""พรบ!U88"")"),4)</f>
        <v>4</v>
      </c>
      <c r="J46" s="74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IFERROR(__xludf.DUMMYFUNCTION("IMPORTRANGE(""https://docs.google.com/spreadsheets/d/1C3CXT74ZlgGe6_JY_1olB1XN4rF0dxEuIIF-xsYjHgg/edit?usp=sharing"",""พรบ!V88"")"),4)</f>
        <v>4</v>
      </c>
      <c r="J47" s="74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IFERROR(__xludf.DUMMYFUNCTION("IMPORTRANGE(""https://docs.google.com/spreadsheets/d/1C3CXT74ZlgGe6_JY_1olB1XN4rF0dxEuIIF-xsYjHgg/edit?usp=sharing"",""พรบ!W88"")"),1)</f>
        <v>1</v>
      </c>
      <c r="J48" s="74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4">
        <v>0</v>
      </c>
      <c r="K49" s="54"/>
      <c r="L49" s="66"/>
      <c r="M49" s="66"/>
      <c r="N49" s="66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90">
        <v>0</v>
      </c>
      <c r="K50" s="54"/>
      <c r="L50" s="66"/>
      <c r="M50" s="66"/>
      <c r="N50" s="66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IFERROR(__xludf.DUMMYFUNCTION("IMPORTRANGE(""https://docs.google.com/spreadsheets/d/1C3CXT74ZlgGe6_JY_1olB1XN4rF0dxEuIIF-xsYjHgg/edit?usp=sharing"",""พรบ!Y88"")"),0)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IFERROR(__xludf.DUMMYFUNCTION("IMPORTRANGE(""https://docs.google.com/spreadsheets/d/1C3CXT74ZlgGe6_JY_1olB1XN4rF0dxEuIIF-xsYjHgg/edit?usp=sharing"",""พรบ!Z88"")"),0)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IFERROR(__xludf.DUMMYFUNCTION("IMPORTRANGE(""https://docs.google.com/spreadsheets/d/1C3CXT74ZlgGe6_JY_1olB1XN4rF0dxEuIIF-xsYjHgg/edit?usp=sharing"",""พรบ!AA88"")"),0)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0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43000</v>
      </c>
      <c r="M68" s="150">
        <f t="shared" si="16"/>
        <v>0</v>
      </c>
      <c r="N68" s="149">
        <f ca="1">IF(L68&gt;0,M68*100/L68,0)</f>
        <v>0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43000</v>
      </c>
      <c r="M71" s="151">
        <f>SUM(M72:M73)</f>
        <v>0</v>
      </c>
      <c r="N71" s="55">
        <f t="shared" ca="1" si="17"/>
        <v>0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IFERROR(__xludf.DUMMYFUNCTION("IMPORTRANGE(""https://docs.google.com/spreadsheets/d/1C3CXT74ZlgGe6_JY_1olB1XN4rF0dxEuIIF-xsYjHgg/edit?usp=sharing"",""พรบ!AD88"")"),0)</f>
        <v>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43000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0</v>
      </c>
      <c r="N74" s="159">
        <f t="shared" ca="1" si="17"/>
        <v>0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IFERROR(__xludf.DUMMYFUNCTION("IMPORTRANGE(""https://docs.google.com/spreadsheets/d/1C3CXT74ZlgGe6_JY_1olB1XN4rF0dxEuIIF-xsYjHgg/edit?usp=sharing"",""พรบ!AF88"")"),7500)</f>
        <v>7500</v>
      </c>
      <c r="M77" s="59">
        <v>0</v>
      </c>
      <c r="N77" s="58">
        <f t="shared" ca="1" si="17"/>
        <v>0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1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IFERROR(__xludf.DUMMYFUNCTION("IMPORTRANGE(""https://docs.google.com/spreadsheets/d/1C3CXT74ZlgGe6_JY_1olB1XN4rF0dxEuIIF-xsYjHgg/edit?usp=sharing"",""พรบ!AG88"")"),4)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IFERROR(__xludf.DUMMYFUNCTION("IMPORTRANGE(""https://docs.google.com/spreadsheets/d/1C3CXT74ZlgGe6_JY_1olB1XN4rF0dxEuIIF-xsYjHgg/edit?usp=sharing"",""พรบ!AH88"")"),28000)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0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1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1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IFERROR(__xludf.DUMMYFUNCTION("IMPORTRANGE(""https://docs.google.com/spreadsheets/d/1C3CXT74ZlgGe6_JY_1olB1XN4rF0dxEuIIF-xsYjHgg/edit?usp=sharing"",""พรบ!AI88"")"),2)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IFERROR(__xludf.DUMMYFUNCTION("IMPORTRANGE(""https://docs.google.com/spreadsheets/d/1C3CXT74ZlgGe6_JY_1olB1XN4rF0dxEuIIF-xsYjHgg/edit?usp=sharing"",""กปร!C88"")"),24000)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IFERROR(__xludf.DUMMYFUNCTION("IMPORTRANGE(""https://docs.google.com/spreadsheets/d/1C3CXT74ZlgGe6_JY_1olB1XN4rF0dxEuIIF-xsYjHgg/edit?usp=sharing"",""พรบ!AJ88"")"),0)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IFERROR(__xludf.DUMMYFUNCTION("IMPORTRANGE(""https://docs.google.com/spreadsheets/d/1C3CXT74ZlgGe6_JY_1olB1XN4rF0dxEuIIF-xsYjHgg/edit?usp=sharing"",""พรบ!AK88"")"),0)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IFERROR(__xludf.DUMMYFUNCTION("IMPORTRANGE(""https://docs.google.com/spreadsheets/d/1C3CXT74ZlgGe6_JY_1olB1XN4rF0dxEuIIF-xsYjHgg/edit?usp=sharing"",""กปร!D88"")"),0)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IFERROR(__xludf.DUMMYFUNCTION("IMPORTRANGE(""https://docs.google.com/spreadsheets/d/1C3CXT74ZlgGe6_JY_1olB1XN4rF0dxEuIIF-xsYjHgg/edit?usp=sharing"",""พรบ!AL88"")"),0)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IFERROR(__xludf.DUMMYFUNCTION("IMPORTRANGE(""https://docs.google.com/spreadsheets/d/1C3CXT74ZlgGe6_JY_1olB1XN4rF0dxEuIIF-xsYjHgg/edit?usp=sharing"",""กปร!E88"")"),0)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10000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7500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7500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IFERROR(__xludf.DUMMYFUNCTION("IMPORTRANGE(""https://docs.google.com/spreadsheets/d/1C3CXT74ZlgGe6_JY_1olB1XN4rF0dxEuIIF-xsYjHgg/edit?usp=sharing"",""พรบ!AM88"")"),7500)</f>
        <v>7500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1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0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IFERROR(__xludf.DUMMYFUNCTION("IMPORTRANGE(""https://docs.google.com/spreadsheets/d/1C3CXT74ZlgGe6_JY_1olB1XN4rF0dxEuIIF-xsYjHgg/edit?usp=sharing"",""พรบ!AO88"")"),10000)</f>
        <v>10000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IFERROR(__xludf.DUMMYFUNCTION("IMPORTRANGE(""https://docs.google.com/spreadsheets/d/1C3CXT74ZlgGe6_JY_1olB1XN4rF0dxEuIIF-xsYjHgg/edit?usp=sharing"",""พรบ!AP88"")"),10000)</f>
        <v>10000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IFERROR(__xludf.DUMMYFUNCTION("IMPORTRANGE(""https://docs.google.com/spreadsheets/d/1C3CXT74ZlgGe6_JY_1olB1XN4rF0dxEuIIF-xsYjHgg/edit?usp=sharing"",""กปร!F88"")"),3500)</f>
        <v>3500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IFERROR(__xludf.DUMMYFUNCTION("IMPORTRANGE(""https://docs.google.com/spreadsheets/d/1C3CXT74ZlgGe6_JY_1olB1XN4rF0dxEuIIF-xsYjHgg/edit?usp=sharing"",""พรบ!AQ88"")"),0)</f>
        <v>0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IFERROR(__xludf.DUMMYFUNCTION("IMPORTRANGE(""https://docs.google.com/spreadsheets/d/1C3CXT74ZlgGe6_JY_1olB1XN4rF0dxEuIIF-xsYjHgg/edit?usp=sharing"",""กปร!G88"")"),0)</f>
        <v>0</v>
      </c>
      <c r="M126" s="58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IFERROR(__xludf.DUMMYFUNCTION("IMPORTRANGE(""https://docs.google.com/spreadsheets/d/1C3CXT74ZlgGe6_JY_1olB1XN4rF0dxEuIIF-xsYjHgg/edit?usp=sharing"",""พรบ!AR88"")"),0)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IFERROR(__xludf.DUMMYFUNCTION("IMPORTRANGE(""https://docs.google.com/spreadsheets/d/1C3CXT74ZlgGe6_JY_1olB1XN4rF0dxEuIIF-xsYjHgg/edit?usp=sharing"",""พรบ!AS88"")"),0)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IFERROR(__xludf.DUMMYFUNCTION("IMPORTRANGE(""https://docs.google.com/spreadsheets/d/1C3CXT74ZlgGe6_JY_1olB1XN4rF0dxEuIIF-xsYjHgg/edit?usp=sharing"",""กปร!H88"")"),0)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IFERROR(__xludf.DUMMYFUNCTION("IMPORTRANGE(""https://docs.google.com/spreadsheets/d/1C3CXT74ZlgGe6_JY_1olB1XN4rF0dxEuIIF-xsYjHgg/edit?usp=sharing"",""พรบ!AT88"")"),0)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IFERROR(__xludf.DUMMYFUNCTION("IMPORTRANGE(""https://docs.google.com/spreadsheets/d/1C3CXT74ZlgGe6_JY_1olB1XN4rF0dxEuIIF-xsYjHgg/edit?usp=sharing"",""กปร!I88"")"),0)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IFERROR(__xludf.DUMMYFUNCTION("IMPORTRANGE(""https://docs.google.com/spreadsheets/d/1C3CXT74ZlgGe6_JY_1olB1XN4rF0dxEuIIF-xsYjHgg/edit?usp=sharing"",""พรบ!AU88"")"),0)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IFERROR(__xludf.DUMMYFUNCTION("IMPORTRANGE(""https://docs.google.com/spreadsheets/d/1C3CXT74ZlgGe6_JY_1olB1XN4rF0dxEuIIF-xsYjHgg/edit?usp=sharing"",""กปร!J88"")"),0)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13</v>
      </c>
      <c r="J144" s="148">
        <f t="shared" si="36"/>
        <v>0</v>
      </c>
      <c r="K144" s="149">
        <f ca="1">IF(I144&gt;0,J144*100/I144,0)</f>
        <v>0</v>
      </c>
      <c r="L144" s="150">
        <f ca="1">L145+L146</f>
        <v>19295</v>
      </c>
      <c r="M144" s="150">
        <f>SUM(M145:M146)</f>
        <v>0</v>
      </c>
      <c r="N144" s="149">
        <f ca="1">IF(L144&gt;0,M144*100/L144,0)</f>
        <v>0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IFERROR(__xludf.DUMMYFUNCTION("IMPORTRANGE(""https://docs.google.com/spreadsheets/d/1C3CXT74ZlgGe6_JY_1olB1XN4rF0dxEuIIF-xsYjHgg/edit?usp=sharing"",""พรบ!AY88"")"),19295)</f>
        <v>19295</v>
      </c>
      <c r="M148" s="59">
        <v>0</v>
      </c>
      <c r="N148" s="58">
        <f t="shared" ca="1" si="37"/>
        <v>0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13</v>
      </c>
      <c r="J149" s="148">
        <f>+J155</f>
        <v>0</v>
      </c>
      <c r="K149" s="149">
        <f ca="1">IF(I149&gt;0,J149*100/I149,0)</f>
        <v>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IFERROR(__xludf.DUMMYFUNCTION("IMPORTRANGE(""https://docs.google.com/spreadsheets/d/1C3CXT74ZlgGe6_JY_1olB1XN4rF0dxEuIIF-xsYjHgg/edit?usp=sharing"",""พรบ!BA88"")"),13)</f>
        <v>13</v>
      </c>
      <c r="J155" s="74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20</v>
      </c>
      <c r="J169" s="191">
        <f>+J180</f>
        <v>0</v>
      </c>
      <c r="K169" s="192">
        <f ca="1">IF(I169&gt;0,J169*100/I169,0)</f>
        <v>0</v>
      </c>
      <c r="L169" s="193">
        <f ca="1">L170+L171</f>
        <v>203400</v>
      </c>
      <c r="M169" s="193">
        <f>SUM(M170:M171)</f>
        <v>22000</v>
      </c>
      <c r="N169" s="192">
        <f ca="1">IF(L169&gt;0,M169*100/L169,0)</f>
        <v>10.816125860373647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203400</v>
      </c>
      <c r="M171" s="55">
        <f t="shared" si="40"/>
        <v>22000</v>
      </c>
      <c r="N171" s="55">
        <f t="shared" ca="1" si="39"/>
        <v>10.816125860373647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IFERROR(__xludf.DUMMYFUNCTION("IMPORTRANGE(""https://docs.google.com/spreadsheets/d/1C3CXT74ZlgGe6_JY_1olB1XN4rF0dxEuIIF-xsYjHgg/edit?usp=sharing"",""พรบ!BD88"")"),132000)</f>
        <v>132000</v>
      </c>
      <c r="M172" s="59">
        <v>22000</v>
      </c>
      <c r="N172" s="58">
        <f t="shared" ca="1" si="39"/>
        <v>16.666666666666668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IFERROR(__xludf.DUMMYFUNCTION("IMPORTRANGE(""https://docs.google.com/spreadsheets/d/1C3CXT74ZlgGe6_JY_1olB1XN4rF0dxEuIIF-xsYjHgg/edit?usp=sharing"",""พรบ!BE88"")"),71400)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4">
        <v>0</v>
      </c>
      <c r="K175" s="54"/>
      <c r="L175" s="66"/>
      <c r="M175" s="66"/>
      <c r="N175" s="66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4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4">
        <v>1</v>
      </c>
      <c r="K177" s="54"/>
      <c r="L177" s="66"/>
      <c r="M177" s="66"/>
      <c r="N177" s="66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4">
        <v>1</v>
      </c>
      <c r="K178" s="54"/>
      <c r="L178" s="66"/>
      <c r="M178" s="66"/>
      <c r="N178" s="66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IFERROR(__xludf.DUMMYFUNCTION("IMPORTRANGE(""https://docs.google.com/spreadsheets/d/1C3CXT74ZlgGe6_JY_1olB1XN4rF0dxEuIIF-xsYjHgg/edit?usp=sharing"",""พรบ!BF88"")"),1)</f>
        <v>1</v>
      </c>
      <c r="J179" s="74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IFERROR(__xludf.DUMMYFUNCTION("IMPORTRANGE(""https://docs.google.com/spreadsheets/d/1C3CXT74ZlgGe6_JY_1olB1XN4rF0dxEuIIF-xsYjHgg/edit?usp=sharing"",""พรบ!BG88"")"),20)</f>
        <v>20</v>
      </c>
      <c r="J180" s="74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IFERROR(__xludf.DUMMYFUNCTION("IMPORTRANGE(""https://docs.google.com/spreadsheets/d/1C3CXT74ZlgGe6_JY_1olB1XN4rF0dxEuIIF-xsYjHgg/edit?usp=sharing"",""พรบ!BH88"")"),20)</f>
        <v>20</v>
      </c>
      <c r="J181" s="74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IFERROR(__xludf.DUMMYFUNCTION("IMPORTRANGE(""https://docs.google.com/spreadsheets/d/1C3CXT74ZlgGe6_JY_1olB1XN4rF0dxEuIIF-xsYjHgg/edit?usp=sharing"",""พรบ!BI88"")"),1)</f>
        <v>1</v>
      </c>
      <c r="J182" s="74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4">
        <v>0</v>
      </c>
      <c r="K183" s="54"/>
      <c r="L183" s="66"/>
      <c r="M183" s="66"/>
      <c r="N183" s="66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121">
        <v>0</v>
      </c>
      <c r="K184" s="122"/>
      <c r="L184" s="123"/>
      <c r="M184" s="123"/>
      <c r="N184" s="123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IFERROR(__xludf.DUMMYFUNCTION("IMPORTRANGE(""https://docs.google.com/spreadsheets/d/1C3CXT74ZlgGe6_JY_1olB1XN4rF0dxEuIIF-xsYjHgg/edit?usp=sharing"",""พรบ!BK88"")"),0)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IFERROR(__xludf.DUMMYFUNCTION("IMPORTRANGE(""https://docs.google.com/spreadsheets/d/1C3CXT74ZlgGe6_JY_1olB1XN4rF0dxEuIIF-xsYjHgg/edit?usp=sharing"",""พรบ!BL88"")"),0)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IFERROR(__xludf.DUMMYFUNCTION("IMPORTRANGE(""https://docs.google.com/spreadsheets/d/1C3CXT74ZlgGe6_JY_1olB1XN4rF0dxEuIIF-xsYjHgg/edit?usp=sharing"",""พรบ!BM88"")"),0)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IFERROR(__xludf.DUMMYFUNCTION("IMPORTRANGE(""https://docs.google.com/spreadsheets/d/1C3CXT74ZlgGe6_JY_1olB1XN4rF0dxEuIIF-xsYjHgg/edit?usp=sharing"",""พรบ!BP88"")"),0)</f>
        <v>0</v>
      </c>
      <c r="M203" s="58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IFERROR(__xludf.DUMMYFUNCTION("IMPORTRANGE(""https://docs.google.com/spreadsheets/d/1C3CXT74ZlgGe6_JY_1olB1XN4rF0dxEuIIF-xsYjHgg/edit?usp=sharing"",""พรบ!BQ88"")"),0)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IFERROR(__xludf.DUMMYFUNCTION("IMPORTRANGE(""https://docs.google.com/spreadsheets/d/1C3CXT74ZlgGe6_JY_1olB1XN4rF0dxEuIIF-xsYjHgg/edit?usp=sharing"",""พรบ!BR88"")"),0)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IFERROR(__xludf.DUMMYFUNCTION("IMPORTRANGE(""https://docs.google.com/spreadsheets/d/1C3CXT74ZlgGe6_JY_1olB1XN4rF0dxEuIIF-xsYjHgg/edit?usp=sharing"",""พรบ!BU88"")"),0)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IFERROR(__xludf.DUMMYFUNCTION("IMPORTRANGE(""https://docs.google.com/spreadsheets/d/1C3CXT74ZlgGe6_JY_1olB1XN4rF0dxEuIIF-xsYjHgg/edit?usp=sharing"",""พรบ!BV88"")"),0)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165</v>
      </c>
      <c r="J228" s="212">
        <f ca="1">J240</f>
        <v>12</v>
      </c>
      <c r="K228" s="192">
        <f ca="1">IF(I228&gt;0,J228*100/I228,0)</f>
        <v>7.2727272727272725</v>
      </c>
      <c r="L228" s="193">
        <f ca="1">L229+L230</f>
        <v>580620</v>
      </c>
      <c r="M228" s="193">
        <f>SUM(M229:M230)</f>
        <v>97496.15</v>
      </c>
      <c r="N228" s="192">
        <f ca="1">IF(L228&gt;0,M228*100/L228,0)</f>
        <v>16.791731252798733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580620</v>
      </c>
      <c r="M230" s="58">
        <f t="shared" si="51"/>
        <v>97496.15</v>
      </c>
      <c r="N230" s="58">
        <f t="shared" ca="1" si="50"/>
        <v>16.791731252798733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IFERROR(__xludf.DUMMYFUNCTION("IMPORTRANGE(""https://docs.google.com/spreadsheets/d/1C3CXT74ZlgGe6_JY_1olB1XN4rF0dxEuIIF-xsYjHgg/edit?usp=sharing"",""พรบ!BX88"")"),306000)</f>
        <v>306000</v>
      </c>
      <c r="M231" s="59">
        <v>41372</v>
      </c>
      <c r="N231" s="58">
        <f t="shared" ca="1" si="50"/>
        <v>13.520261437908497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IFERROR(__xludf.DUMMYFUNCTION("IMPORTRANGE(""https://docs.google.com/spreadsheets/d/1C3CXT74ZlgGe6_JY_1olB1XN4rF0dxEuIIF-xsYjHgg/edit?usp=sharing"",""พรบ!BY88"")"),274620)</f>
        <v>274620</v>
      </c>
      <c r="M232" s="59">
        <v>56124.15</v>
      </c>
      <c r="N232" s="58">
        <f t="shared" ca="1" si="50"/>
        <v>20.43702206685602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IFERROR(__xludf.DUMMYFUNCTION("IMPORTRANGE(""https://docs.google.com/spreadsheets/d/1AGHcLOeeYFL3K4b9R1dSzyJy00PE_ra89DNTVfnxSWM/edit?usp=sharing"",""รวมที่ทำกิน!J77"")"),41)</f>
        <v>41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IFERROR(__xludf.DUMMYFUNCTION("IMPORTRANGE(""https://docs.google.com/spreadsheets/d/1C3CXT74ZlgGe6_JY_1olB1XN4rF0dxEuIIF-xsYjHgg/edit?usp=sharing"",""พรบ!BZ88"")"),700)</f>
        <v>700</v>
      </c>
      <c r="J235" s="73">
        <f ca="1">IFERROR(__xludf.DUMMYFUNCTION("IMPORTRANGE(""https://docs.google.com/spreadsheets/d/1AGHcLOeeYFL3K4b9R1dSzyJy00PE_ra89DNTVfnxSWM/edit?usp=sharing"",""รวมที่ทำกิน!L77"")"),212.35)</f>
        <v>212.35</v>
      </c>
      <c r="K235" s="215">
        <f t="shared" ca="1" si="52"/>
        <v>30.335714285714285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IFERROR(__xludf.DUMMYFUNCTION("IMPORTRANGE(""https://docs.google.com/spreadsheets/d/1C3CXT74ZlgGe6_JY_1olB1XN4rF0dxEuIIF-xsYjHgg/edit?usp=sharing"",""พรบ!CA88"")"),165)</f>
        <v>165</v>
      </c>
      <c r="J236" s="73">
        <f ca="1">IFERROR(__xludf.DUMMYFUNCTION("IMPORTRANGE(""https://docs.google.com/spreadsheets/d/1AGHcLOeeYFL3K4b9R1dSzyJy00PE_ra89DNTVfnxSWM/edit?usp=sharing"",""รวมที่ทำกิน!O77"")"),25)</f>
        <v>25</v>
      </c>
      <c r="K236" s="215">
        <f t="shared" ca="1" si="52"/>
        <v>15.151515151515152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IFERROR(__xludf.DUMMYFUNCTION("IMPORTRANGE(""https://docs.google.com/spreadsheets/d/1AGHcLOeeYFL3K4b9R1dSzyJy00PE_ra89DNTVfnxSWM/edit?usp=sharing"",""รวมที่ทำกิน!Q77"")"),179.41)</f>
        <v>179.41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IFERROR(__xludf.DUMMYFUNCTION("IMPORTRANGE(""https://docs.google.com/spreadsheets/d/1C3CXT74ZlgGe6_JY_1olB1XN4rF0dxEuIIF-xsYjHgg/edit?usp=sharing"",""พรบ!CB88"")"),165)</f>
        <v>165</v>
      </c>
      <c r="J238" s="73">
        <f ca="1">IFERROR(__xludf.DUMMYFUNCTION("IMPORTRANGE(""https://docs.google.com/spreadsheets/d/1AGHcLOeeYFL3K4b9R1dSzyJy00PE_ra89DNTVfnxSWM/edit?usp=sharing"",""รวมที่ทำกิน!S77"")"),0)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IFERROR(__xludf.DUMMYFUNCTION("IMPORTRANGE(""https://docs.google.com/spreadsheets/d/1AGHcLOeeYFL3K4b9R1dSzyJy00PE_ra89DNTVfnxSWM/edit?usp=sharing"",""รวมที่ทำกิน!U77"")"),0)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IFERROR(__xludf.DUMMYFUNCTION("IMPORTRANGE(""https://docs.google.com/spreadsheets/d/1C3CXT74ZlgGe6_JY_1olB1XN4rF0dxEuIIF-xsYjHgg/edit?usp=sharing"",""พรบ!CC88"")"),165)</f>
        <v>165</v>
      </c>
      <c r="J240" s="73">
        <f ca="1">IFERROR(__xludf.DUMMYFUNCTION("IMPORTRANGE(""https://docs.google.com/spreadsheets/d/1AGHcLOeeYFL3K4b9R1dSzyJy00PE_ra89DNTVfnxSWM/edit?usp=sharing"",""รวมที่ทำกิน!W77"")"),12)</f>
        <v>12</v>
      </c>
      <c r="K240" s="215">
        <f t="shared" ca="1" si="52"/>
        <v>7.2727272727272725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IFERROR(__xludf.DUMMYFUNCTION("IMPORTRANGE(""https://docs.google.com/spreadsheets/d/1AGHcLOeeYFL3K4b9R1dSzyJy00PE_ra89DNTVfnxSWM/edit?usp=sharing"",""รวมที่ทำกิน!Y77"")"),115.48)</f>
        <v>115.48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1556947</v>
      </c>
      <c r="M242" s="230">
        <f t="shared" si="53"/>
        <v>80431.72</v>
      </c>
      <c r="N242" s="230">
        <f ca="1">+IF(L242&gt;0,M242*100/L242,0)</f>
        <v>5.165989593736974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128</v>
      </c>
      <c r="J244" s="244">
        <f t="shared" si="54"/>
        <v>0</v>
      </c>
      <c r="K244" s="245">
        <f t="shared" ref="K244:K245" ca="1" si="55">IF(I244&gt;0,J244*100/I244,0)</f>
        <v>0</v>
      </c>
      <c r="L244" s="246">
        <f t="shared" ref="L244:M244" ca="1" si="56">SUM(L246:L247)</f>
        <v>334640</v>
      </c>
      <c r="M244" s="246">
        <f t="shared" si="56"/>
        <v>43900.68</v>
      </c>
      <c r="N244" s="246">
        <f ca="1">+IF(L244&gt;0,M244*100/L244,0)</f>
        <v>13.118778388716233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32</v>
      </c>
      <c r="J245" s="244">
        <f t="shared" si="57"/>
        <v>10</v>
      </c>
      <c r="K245" s="245">
        <f t="shared" ca="1" si="55"/>
        <v>31.25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334640</v>
      </c>
      <c r="M247" s="55">
        <f t="shared" si="59"/>
        <v>43900.68</v>
      </c>
      <c r="N247" s="55">
        <f t="shared" ca="1" si="58"/>
        <v>13.118778388716233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IFERROR(__xludf.DUMMYFUNCTION("IMPORTRANGE(""https://docs.google.com/spreadsheets/d/1C3CXT74ZlgGe6_JY_1olB1XN4rF0dxEuIIF-xsYjHgg/edit?usp=sharing"",""งบกองทุน!d88"")"),0)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IFERROR(__xludf.DUMMYFUNCTION("IMPORTRANGE(""https://docs.google.com/spreadsheets/d/1C3CXT74ZlgGe6_JY_1olB1XN4rF0dxEuIIF-xsYjHgg/edit?usp=sharing"",""งบกองทุน!e88"")"),334640)</f>
        <v>334640</v>
      </c>
      <c r="M249" s="58">
        <f>SUM(M250:M253)</f>
        <v>43900.68</v>
      </c>
      <c r="N249" s="58">
        <f t="shared" ca="1" si="58"/>
        <v>13.118778388716233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34320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9580.68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0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1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10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IFERROR(__xludf.DUMMYFUNCTION("IMPORTRANGE(""https://docs.google.com/spreadsheets/d/1C3CXT74ZlgGe6_JY_1olB1XN4rF0dxEuIIF-xsYjHgg/edit?usp=sharing"",""งบกองทุน!f88"")"),0)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128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IFERROR(__xludf.DUMMYFUNCTION("IMPORTRANGE(""https://docs.google.com/spreadsheets/d/1C3CXT74ZlgGe6_JY_1olB1XN4rF0dxEuIIF-xsYjHgg/edit?usp=sharing"",""งบกองทุน!H88"")"),32)</f>
        <v>32</v>
      </c>
      <c r="J263" s="73">
        <f>J267</f>
        <v>10</v>
      </c>
      <c r="K263" s="54">
        <f t="shared" ca="1" si="61"/>
        <v>31.25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IFERROR(__xludf.DUMMYFUNCTION("IMPORTRANGE(""https://docs.google.com/spreadsheets/d/1C3CXT74ZlgGe6_JY_1olB1XN4rF0dxEuIIF-xsYjHgg/edit?usp=sharing"",""งบกองทุน!i88"")"),88)</f>
        <v>88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32</v>
      </c>
      <c r="J265" s="74">
        <v>0</v>
      </c>
      <c r="K265" s="54">
        <f t="shared" ca="1" si="61"/>
        <v>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IFERROR(__xludf.DUMMYFUNCTION("IMPORTRANGE(""https://docs.google.com/spreadsheets/d/1C3CXT74ZlgGe6_JY_1olB1XN4rF0dxEuIIF-xsYjHgg/edit?usp=sharing"",""งบกองทุน!k88"")"),40)</f>
        <v>40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32</v>
      </c>
      <c r="J267" s="74">
        <v>10</v>
      </c>
      <c r="K267" s="54">
        <f t="shared" ca="1" si="61"/>
        <v>31.25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IFERROR(__xludf.DUMMYFUNCTION("IMPORTRANGE(""https://docs.google.com/spreadsheets/d/1C3CXT74ZlgGe6_JY_1olB1XN4rF0dxEuIIF-xsYjHgg/edit?usp=sharing"",""งบกองทุน!m88"")"),0)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128</v>
      </c>
      <c r="J270" s="73">
        <f t="shared" si="62"/>
        <v>0</v>
      </c>
      <c r="K270" s="54">
        <f t="shared" ref="K270:K272" ca="1" si="63">IF(I270&gt;0,J270*100/I270,0)</f>
        <v>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IFERROR(__xludf.DUMMYFUNCTION("IMPORTRANGE(""https://docs.google.com/spreadsheets/d/1C3CXT74ZlgGe6_JY_1olB1XN4rF0dxEuIIF-xsYjHgg/edit?usp=sharing"",""งบกองทุน!o88"")"),40)</f>
        <v>40</v>
      </c>
      <c r="J271" s="74">
        <v>0</v>
      </c>
      <c r="K271" s="54">
        <f t="shared" ca="1" si="63"/>
        <v>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IFERROR(__xludf.DUMMYFUNCTION("IMPORTRANGE(""https://docs.google.com/spreadsheets/d/1C3CXT74ZlgGe6_JY_1olB1XN4rF0dxEuIIF-xsYjHgg/edit?usp=sharing"",""งบกองทุน!p88"")"),88)</f>
        <v>88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300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293900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30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293900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IFERROR(__xludf.DUMMYFUNCTION("IMPORTRANGE(""https://docs.google.com/spreadsheets/d/1C3CXT74ZlgGe6_JY_1olB1XN4rF0dxEuIIF-xsYjHgg/edit?usp=sharing"",""งบกองทุน!r88"")"),0)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IFERROR(__xludf.DUMMYFUNCTION("IMPORTRANGE(""https://docs.google.com/spreadsheets/d/1C3CXT74ZlgGe6_JY_1olB1XN4rF0dxEuIIF-xsYjHgg/edit?usp=sharing"",""งบกองทุน!s88"")"),293900)</f>
        <v>293900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1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1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IFERROR(__xludf.DUMMYFUNCTION("IMPORTRANGE(""https://docs.google.com/spreadsheets/d/1C3CXT74ZlgGe6_JY_1olB1XN4rF0dxEuIIF-xsYjHgg/edit?usp=sharing"",""งบกองทุน!v88"")"),30)</f>
        <v>30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IFERROR(__xludf.DUMMYFUNCTION("IMPORTRANGE(""https://docs.google.com/spreadsheets/d/1C3CXT74ZlgGe6_JY_1olB1XN4rF0dxEuIIF-xsYjHgg/edit?usp=sharing"",""งบกองทุน!w88"")"),300)</f>
        <v>300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IFERROR(__xludf.DUMMYFUNCTION("IMPORTRANGE(""https://docs.google.com/spreadsheets/d/1C3CXT74ZlgGe6_JY_1olB1XN4rF0dxEuIIF-xsYjHgg/edit?usp=sharing"",""งบกองทุน!x88"")"),30)</f>
        <v>30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135</v>
      </c>
      <c r="J296" s="244">
        <f>J313+J317+J322</f>
        <v>0</v>
      </c>
      <c r="K296" s="245">
        <f t="shared" ref="K296:K297" ca="1" si="69">IF(I296&gt;0,J296*100/I296,0)</f>
        <v>0</v>
      </c>
      <c r="L296" s="246">
        <f t="shared" ref="L296:M296" ca="1" si="70">SUM(L298:L299)</f>
        <v>159950</v>
      </c>
      <c r="M296" s="246">
        <f t="shared" si="70"/>
        <v>0</v>
      </c>
      <c r="N296" s="246">
        <f ca="1">+IF(L296&gt;0,M296*100/L296,0)</f>
        <v>0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45</v>
      </c>
      <c r="J297" s="244">
        <f ca="1">J311</f>
        <v>0</v>
      </c>
      <c r="K297" s="245">
        <f t="shared" ca="1" si="69"/>
        <v>0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159950</v>
      </c>
      <c r="M299" s="58">
        <f t="shared" si="72"/>
        <v>0</v>
      </c>
      <c r="N299" s="58">
        <f t="shared" ca="1" si="71"/>
        <v>0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IFERROR(__xludf.DUMMYFUNCTION("IMPORTRANGE(""https://docs.google.com/spreadsheets/d/1C3CXT74ZlgGe6_JY_1olB1XN4rF0dxEuIIF-xsYjHgg/edit?usp=sharing"",""งบกองทุน!z88"")"),0)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IFERROR(__xludf.DUMMYFUNCTION("IMPORTRANGE(""https://docs.google.com/spreadsheets/d/1C3CXT74ZlgGe6_JY_1olB1XN4rF0dxEuIIF-xsYjHgg/edit?usp=sharing"",""งบกองทุน!aa88"")"),159950)</f>
        <v>159950</v>
      </c>
      <c r="M301" s="58">
        <f>SUM(M302:M305)</f>
        <v>0</v>
      </c>
      <c r="N301" s="58">
        <f t="shared" ca="1" si="71"/>
        <v>0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1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1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45</v>
      </c>
      <c r="J311" s="84">
        <f t="shared" ca="1" si="73"/>
        <v>0</v>
      </c>
      <c r="K311" s="85">
        <f t="shared" ref="K311:K322" ca="1" si="74">IF(I311&gt;0,J311*100/I311,0)</f>
        <v>0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IFERROR(__xludf.DUMMYFUNCTION("IMPORTRANGE(""https://docs.google.com/spreadsheets/d/1C3CXT74ZlgGe6_JY_1olB1XN4rF0dxEuIIF-xsYjHgg/edit?usp=sharing"",""งบกองทุน!ae88"")"),10)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IFERROR(__xludf.DUMMYFUNCTION("IMPORTRANGE(""https://docs.google.com/spreadsheets/d/1C3CXT74ZlgGe6_JY_1olB1XN4rF0dxEuIIF-xsYjHgg/edit?usp=sharing"",""งบกองทุน!ad88"")"),30)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IFERROR(__xludf.DUMMYFUNCTION("IMPORTRANGE(""https://docs.google.com/spreadsheets/d/1C3CXT74ZlgGe6_JY_1olB1XN4rF0dxEuIIF-xsYjHgg/edit?usp=sharing"",""งบกองทุน!af88"")"),10)</f>
        <v>10</v>
      </c>
      <c r="J314" s="390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IFERROR(__xludf.DUMMYFUNCTION("IMPORTRANGE(""https://docs.google.com/spreadsheets/d/1C3CXT74ZlgGe6_JY_1olB1XN4rF0dxEuIIF-xsYjHgg/edit?usp=sharing"",""งบกองทุน!ag88"")"),10)</f>
        <v>10</v>
      </c>
      <c r="J315" s="390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IFERROR(__xludf.DUMMYFUNCTION("IMPORTRANGE(""https://docs.google.com/spreadsheets/d/1C3CXT74ZlgGe6_JY_1olB1XN4rF0dxEuIIF-xsYjHgg/edit?usp=sharing"",""งบกองทุน!ai88"")"),25)</f>
        <v>25</v>
      </c>
      <c r="J316" s="388">
        <f ca="1">IF(AND(J318=I318,J319=I319,J320=I320),I318,0)</f>
        <v>0</v>
      </c>
      <c r="K316" s="85">
        <f t="shared" ca="1" si="74"/>
        <v>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IFERROR(__xludf.DUMMYFUNCTION("IMPORTRANGE(""https://docs.google.com/spreadsheets/d/1C3CXT74ZlgGe6_JY_1olB1XN4rF0dxEuIIF-xsYjHgg/edit?usp=sharing"",""งบกองทุน!ah88"")"),75)</f>
        <v>75</v>
      </c>
      <c r="J317" s="389">
        <v>0</v>
      </c>
      <c r="K317" s="85">
        <f t="shared" ca="1" si="74"/>
        <v>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IFERROR(__xludf.DUMMYFUNCTION("IMPORTRANGE(""https://docs.google.com/spreadsheets/d/1C3CXT74ZlgGe6_JY_1olB1XN4rF0dxEuIIF-xsYjHgg/edit?usp=sharing"",""งบกองทุน!aj88"")"),25)</f>
        <v>25</v>
      </c>
      <c r="J318" s="390">
        <v>0</v>
      </c>
      <c r="K318" s="54">
        <f t="shared" ca="1" si="74"/>
        <v>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IFERROR(__xludf.DUMMYFUNCTION("IMPORTRANGE(""https://docs.google.com/spreadsheets/d/1C3CXT74ZlgGe6_JY_1olB1XN4rF0dxEuIIF-xsYjHgg/edit?usp=sharing"",""งบกองทุน!ak88"")"),25)</f>
        <v>25</v>
      </c>
      <c r="J319" s="390">
        <v>0</v>
      </c>
      <c r="K319" s="54">
        <f t="shared" ca="1" si="74"/>
        <v>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IFERROR(__xludf.DUMMYFUNCTION("IMPORTRANGE(""https://docs.google.com/spreadsheets/d/1C3CXT74ZlgGe6_JY_1olB1XN4rF0dxEuIIF-xsYjHgg/edit?usp=sharing"",""งบกองทุน!al88"")"),25)</f>
        <v>25</v>
      </c>
      <c r="J320" s="390">
        <v>0</v>
      </c>
      <c r="K320" s="54">
        <f t="shared" ca="1" si="74"/>
        <v>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IFERROR(__xludf.DUMMYFUNCTION("IMPORTRANGE(""https://docs.google.com/spreadsheets/d/1C3CXT74ZlgGe6_JY_1olB1XN4rF0dxEuIIF-xsYjHgg/edit?usp=sharing"",""งบกองทุน!an88"")"),10)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IFERROR(__xludf.DUMMYFUNCTION("IMPORTRANGE(""https://docs.google.com/spreadsheets/d/1C3CXT74ZlgGe6_JY_1olB1XN4rF0dxEuIIF-xsYjHgg/edit?usp=sharing"",""งบกองทุน!am88"")"),30)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IFERROR(__xludf.DUMMYFUNCTION("IMPORTRANGE(""https://docs.google.com/spreadsheets/d/1C3CXT74ZlgGe6_JY_1olB1XN4rF0dxEuIIF-xsYjHgg/edit?usp=sharing"",""งบกองทุน!ao88"")"),10)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IFERROR(__xludf.DUMMYFUNCTION("IMPORTRANGE(""https://docs.google.com/spreadsheets/d/1C3CXT74ZlgGe6_JY_1olB1XN4rF0dxEuIIF-xsYjHgg/edit?usp=sharing"",""งบกองทุน!ap88"")"),10)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35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IFERROR(__xludf.DUMMYFUNCTION("IMPORTRANGE(""https://docs.google.com/spreadsheets/d/1C3CXT74ZlgGe6_JY_1olB1XN4rF0dxEuIIF-xsYjHgg/edit?usp=sharing"",""งบกองทุน!ar88"")"),10)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IFERROR(__xludf.DUMMYFUNCTION("IMPORTRANGE(""https://docs.google.com/spreadsheets/d/1C3CXT74ZlgGe6_JY_1olB1XN4rF0dxEuIIF-xsYjHgg/edit?usp=sharing"",""งบกองทุน!as88"")"),25)</f>
        <v>25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25</v>
      </c>
      <c r="J330" s="275">
        <f>+J344</f>
        <v>0</v>
      </c>
      <c r="K330" s="276">
        <f ca="1">IF(I330&gt;0,J330*100/I330,0)</f>
        <v>0</v>
      </c>
      <c r="L330" s="277">
        <f t="shared" ref="L330:M330" ca="1" si="76">SUM(L331:L332)</f>
        <v>105900</v>
      </c>
      <c r="M330" s="277">
        <f t="shared" si="76"/>
        <v>0</v>
      </c>
      <c r="N330" s="277">
        <f t="shared" ref="N330:N334" ca="1" si="77">+IF(L330&gt;0,M330*100/L330,0)</f>
        <v>0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105900</v>
      </c>
      <c r="M332" s="58">
        <f t="shared" si="78"/>
        <v>0</v>
      </c>
      <c r="N332" s="58">
        <f t="shared" ca="1" si="77"/>
        <v>0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IFERROR(__xludf.DUMMYFUNCTION("IMPORTRANGE(""https://docs.google.com/spreadsheets/d/1C3CXT74ZlgGe6_JY_1olB1XN4rF0dxEuIIF-xsYjHgg/edit?usp=sharing"",""งบกองทุน!au88"")"),0)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IFERROR(__xludf.DUMMYFUNCTION("IMPORTRANGE(""https://docs.google.com/spreadsheets/d/1C3CXT74ZlgGe6_JY_1olB1XN4rF0dxEuIIF-xsYjHgg/edit?usp=sharing"",""งบกองทุน!av88"")"),105900)</f>
        <v>105900</v>
      </c>
      <c r="M334" s="58">
        <f>SUM(M335:M338)</f>
        <v>0</v>
      </c>
      <c r="N334" s="58">
        <f t="shared" ca="1" si="77"/>
        <v>0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1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1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25</v>
      </c>
      <c r="J344" s="84">
        <f t="shared" si="79"/>
        <v>0</v>
      </c>
      <c r="K344" s="54">
        <f t="shared" ref="K344:K347" ca="1" si="80">IF(I344&gt;0,J344*100/I344,0)</f>
        <v>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IFERROR(__xludf.DUMMYFUNCTION("IMPORTRANGE(""https://docs.google.com/spreadsheets/d/1C3CXT74ZlgGe6_JY_1olB1XN4rF0dxEuIIF-xsYjHgg/edit?usp=sharing"",""งบกองทุน!ay88"")"),25)</f>
        <v>25</v>
      </c>
      <c r="J345" s="74">
        <v>0</v>
      </c>
      <c r="K345" s="54">
        <f t="shared" ca="1" si="80"/>
        <v>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IFERROR(__xludf.DUMMYFUNCTION("IMPORTRANGE(""https://docs.google.com/spreadsheets/d/1C3CXT74ZlgGe6_JY_1olB1XN4rF0dxEuIIF-xsYjHgg/edit?usp=sharing"",""งบกองทุน!az88"")"),0)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IFERROR(__xludf.DUMMYFUNCTION("IMPORTRANGE(""https://docs.google.com/spreadsheets/d/1C3CXT74ZlgGe6_JY_1olB1XN4rF0dxEuIIF-xsYjHgg/edit?usp=sharing"",""งบกองทุน!Ba88"")"),0)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27057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361252</v>
      </c>
      <c r="M350" s="246">
        <f t="shared" si="81"/>
        <v>9935.52</v>
      </c>
      <c r="N350" s="246">
        <f t="shared" ref="N350:N354" ca="1" si="82">+IF(L350&gt;0,M350*100/L350,0)</f>
        <v>2.7503017284333375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361252</v>
      </c>
      <c r="M352" s="58">
        <f t="shared" si="83"/>
        <v>9935.52</v>
      </c>
      <c r="N352" s="58">
        <f t="shared" ca="1" si="82"/>
        <v>2.7503017284333375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IFERROR(__xludf.DUMMYFUNCTION("IMPORTRANGE(""https://docs.google.com/spreadsheets/d/1C3CXT74ZlgGe6_JY_1olB1XN4rF0dxEuIIF-xsYjHgg/edit?usp=sharing"",""งบกองทุน!Bc88"")"),0)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IFERROR(__xludf.DUMMYFUNCTION("IMPORTRANGE(""https://docs.google.com/spreadsheets/d/1C3CXT74ZlgGe6_JY_1olB1XN4rF0dxEuIIF-xsYjHgg/edit?usp=sharing"",""งบกองทุน!Bd88"")"),361252)</f>
        <v>361252</v>
      </c>
      <c r="M354" s="58">
        <f>SUM(M355:M358)</f>
        <v>9935.52</v>
      </c>
      <c r="N354" s="58">
        <f t="shared" ca="1" si="82"/>
        <v>2.7503017284333375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9935.52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IFERROR(__xludf.DUMMYFUNCTION("IMPORTRANGE(""https://docs.google.com/spreadsheets/d/1C3CXT74ZlgGe6_JY_1olB1XN4rF0dxEuIIF-xsYjHgg/edit?usp=sharing"",""งบกองทุน!BE88"")"),27057)</f>
        <v>27057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27057</v>
      </c>
      <c r="J360" s="283">
        <f t="shared" ref="J360:J361" si="85">+J362+J364+J366</f>
        <v>23</v>
      </c>
      <c r="K360" s="85">
        <f t="shared" ca="1" si="84"/>
        <v>8.5005728646930553E-2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IFERROR(__xludf.DUMMYFUNCTION("IMPORTRANGE(""https://docs.google.com/spreadsheets/d/1C3CXT74ZlgGe6_JY_1olB1XN4rF0dxEuIIF-xsYjHgg/edit?usp=sharing"",""งบกองทุน!BF88"")"),5540)</f>
        <v>5540</v>
      </c>
      <c r="J361" s="283">
        <f t="shared" si="85"/>
        <v>5</v>
      </c>
      <c r="K361" s="85">
        <f t="shared" ca="1" si="84"/>
        <v>9.0252707581227443E-2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23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5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27057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5540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27057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5540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IFERROR(__xludf.DUMMYFUNCTION("IMPORTRANGE(""https://docs.google.com/spreadsheets/d/1C3CXT74ZlgGe6_JY_1olB1XN4rF0dxEuIIF-xsYjHgg/edit?usp=sharing"",""งบกองทุน!cd88"")"),429)</f>
        <v>429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IFERROR(__xludf.DUMMYFUNCTION("IMPORTRANGE(""https://docs.google.com/spreadsheets/d/1C3CXT74ZlgGe6_JY_1olB1XN4rF0dxEuIIF-xsYjHgg/edit?usp=sharing"",""งบกองทุน!cd88"")"),429)</f>
        <v>429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IFERROR(__xludf.DUMMYFUNCTION("IMPORTRANGE(""https://docs.google.com/spreadsheets/d/1C3CXT74ZlgGe6_JY_1olB1XN4rF0dxEuIIF-xsYjHgg/edit?usp=sharing"",""งบกองทุน!cc88"")"),98)</f>
        <v>98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IFERROR(__xludf.DUMMYFUNCTION("IMPORTRANGE(""https://docs.google.com/spreadsheets/d/1C3CXT74ZlgGe6_JY_1olB1XN4rF0dxEuIIF-xsYjHgg/edit?usp=sharing"",""งบกองทุน!cz88"")"),0)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IFERROR(__xludf.DUMMYFUNCTION("IMPORTRANGE(""https://docs.google.com/spreadsheets/d/1C3CXT74ZlgGe6_JY_1olB1XN4rF0dxEuIIF-xsYjHgg/edit?usp=sharing"",""งบกองทุน!cz88"")"),0)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IFERROR(__xludf.DUMMYFUNCTION("IMPORTRANGE(""https://docs.google.com/spreadsheets/d/1C3CXT74ZlgGe6_JY_1olB1XN4rF0dxEuIIF-xsYjHgg/edit?usp=sharing"",""งบกองทุน!cy88"")"),0)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IFERROR(__xludf.DUMMYFUNCTION("IMPORTRANGE(""https://docs.google.com/spreadsheets/d/1C3CXT74ZlgGe6_JY_1olB1XN4rF0dxEuIIF-xsYjHgg/edit?usp=sharing"",""งบกองทุน!db88"")"),0)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IFERROR(__xludf.DUMMYFUNCTION("IMPORTRANGE(""https://docs.google.com/spreadsheets/d/1C3CXT74ZlgGe6_JY_1olB1XN4rF0dxEuIIF-xsYjHgg/edit?usp=sharing"",""งบกองทุน!da88"")"),0)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IFERROR(__xludf.DUMMYFUNCTION("IMPORTRANGE(""https://docs.google.com/spreadsheets/d/1C3CXT74ZlgGe6_JY_1olB1XN4rF0dxEuIIF-xsYjHgg/edit?usp=sharing"",""งบกองทุน!dd88"")"),0)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IFERROR(__xludf.DUMMYFUNCTION("IMPORTRANGE(""https://docs.google.com/spreadsheets/d/1C3CXT74ZlgGe6_JY_1olB1XN4rF0dxEuIIF-xsYjHgg/edit?usp=sharing"",""งบกองทุน!dc88"")"),0)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IFERROR(__xludf.DUMMYFUNCTION("IMPORTRANGE(""https://docs.google.com/spreadsheets/d/1C3CXT74ZlgGe6_JY_1olB1XN4rF0dxEuIIF-xsYjHgg/edit?usp=sharing"",""งบกองทุน!df88"")"),0)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IFERROR(__xludf.DUMMYFUNCTION("IMPORTRANGE(""https://docs.google.com/spreadsheets/d/1C3CXT74ZlgGe6_JY_1olB1XN4rF0dxEuIIF-xsYjHgg/edit?usp=sharing"",""งบกองทุน!de88"")"),0)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20</v>
      </c>
      <c r="J426" s="275">
        <f t="shared" si="95"/>
        <v>20</v>
      </c>
      <c r="K426" s="276">
        <f ca="1">IF(I426&gt;0,J426*100/I426,0)</f>
        <v>100</v>
      </c>
      <c r="L426" s="277">
        <f t="shared" ref="L426:M426" ca="1" si="96">SUM(L427:L428)</f>
        <v>32640</v>
      </c>
      <c r="M426" s="277">
        <f t="shared" si="96"/>
        <v>16260</v>
      </c>
      <c r="N426" s="277">
        <f t="shared" ref="N426:N430" ca="1" si="97">+IF(L426&gt;0,M426*100/L426,0)</f>
        <v>49.816176470588232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32640</v>
      </c>
      <c r="M428" s="58">
        <f t="shared" si="98"/>
        <v>16260</v>
      </c>
      <c r="N428" s="58">
        <f t="shared" ca="1" si="97"/>
        <v>49.816176470588232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IFERROR(__xludf.DUMMYFUNCTION("IMPORTRANGE(""https://docs.google.com/spreadsheets/d/1C3CXT74ZlgGe6_JY_1olB1XN4rF0dxEuIIF-xsYjHgg/edit?usp=sharing"",""งบกองทุน!dn88"")"),0)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IFERROR(__xludf.DUMMYFUNCTION("IMPORTRANGE(""https://docs.google.com/spreadsheets/d/1C3CXT74ZlgGe6_JY_1olB1XN4rF0dxEuIIF-xsYjHgg/edit?usp=sharing"",""งบกองทุน!do88"")"),32640)</f>
        <v>32640</v>
      </c>
      <c r="M430" s="58">
        <f>SUM(M431:M434)</f>
        <v>16260</v>
      </c>
      <c r="N430" s="58">
        <f t="shared" ca="1" si="97"/>
        <v>49.816176470588232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14560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1700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1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1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IFERROR(__xludf.DUMMYFUNCTION("IMPORTRANGE(""https://docs.google.com/spreadsheets/d/1C3CXT74ZlgGe6_JY_1olB1XN4rF0dxEuIIF-xsYjHgg/edit?usp=sharing"",""งบกองทุน!dq88"")"),20)</f>
        <v>20</v>
      </c>
      <c r="J440" s="74">
        <v>20</v>
      </c>
      <c r="K440" s="54">
        <f t="shared" ref="K440:K441" ca="1" si="99">IF(I440&gt;0,J440*100/I440,0)</f>
        <v>100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IFERROR(__xludf.DUMMYFUNCTION("IMPORTRANGE(""https://docs.google.com/spreadsheets/d/1C3CXT74ZlgGe6_JY_1olB1XN4rF0dxEuIIF-xsYjHgg/edit?usp=sharing"",""งบกองทุน!dr88"")"),20)</f>
        <v>20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0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0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IFERROR(__xludf.DUMMYFUNCTION("IMPORTRANGE(""https://docs.google.com/spreadsheets/d/1C3CXT74ZlgGe6_JY_1olB1XN4rF0dxEuIIF-xsYjHgg/edit?usp=sharing"",""งบกองทุน!dt88"")"),0)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IFERROR(__xludf.DUMMYFUNCTION("IMPORTRANGE(""https://docs.google.com/spreadsheets/d/1C3CXT74ZlgGe6_JY_1olB1XN4rF0dxEuIIF-xsYjHgg/edit?usp=sharing"",""งบกองทุน!du88"")"),0)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IFERROR(__xludf.DUMMYFUNCTION("IMPORTRANGE(""https://docs.google.com/spreadsheets/d/1C3CXT74ZlgGe6_JY_1olB1XN4rF0dxEuIIF-xsYjHgg/edit?usp=sharing"",""งบกองทุน!dw88"")"),0)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IFERROR(__xludf.DUMMYFUNCTION("IMPORTRANGE(""https://docs.google.com/spreadsheets/d/1C3CXT74ZlgGe6_JY_1olB1XN4rF0dxEuIIF-xsYjHgg/edit?usp=sharing"",""งบกองทุน!dx88"")"),0)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IFERROR(__xludf.DUMMYFUNCTION("IMPORTRANGE(""https://docs.google.com/spreadsheets/d/1C3CXT74ZlgGe6_JY_1olB1XN4rF0dxEuIIF-xsYjHgg/edit?usp=sharing"",""งบกองทุน!dy88"")"),0)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IFERROR(__xludf.DUMMYFUNCTION("IMPORTRANGE(""https://docs.google.com/spreadsheets/d/1C3CXT74ZlgGe6_JY_1olB1XN4rF0dxEuIIF-xsYjHgg/edit?usp=sharing"",""งบกองทุน!dz88"")"),0)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1150</v>
      </c>
      <c r="J457" s="244">
        <f>+J466</f>
        <v>445</v>
      </c>
      <c r="K457" s="245">
        <f t="shared" ca="1" si="104"/>
        <v>38.695652173913047</v>
      </c>
      <c r="L457" s="246">
        <f t="shared" ref="L457:M457" ca="1" si="105">SUM(L458:L459)</f>
        <v>120320</v>
      </c>
      <c r="M457" s="246">
        <f t="shared" si="105"/>
        <v>9935.52</v>
      </c>
      <c r="N457" s="246">
        <f t="shared" ref="N457:N461" ca="1" si="106">+IF(L457&gt;0,M457*100/L457,0)</f>
        <v>8.2575797872340431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120320</v>
      </c>
      <c r="M459" s="58">
        <f t="shared" si="107"/>
        <v>9935.52</v>
      </c>
      <c r="N459" s="58">
        <f t="shared" ca="1" si="106"/>
        <v>8.2575797872340431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IFERROR(__xludf.DUMMYFUNCTION("IMPORTRANGE(""https://docs.google.com/spreadsheets/d/1C3CXT74ZlgGe6_JY_1olB1XN4rF0dxEuIIF-xsYjHgg/edit?usp=sharing"",""งบกองทุน!Eb88"")"),0)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IFERROR(__xludf.DUMMYFUNCTION("IMPORTRANGE(""https://docs.google.com/spreadsheets/d/1C3CXT74ZlgGe6_JY_1olB1XN4rF0dxEuIIF-xsYjHgg/edit?usp=sharing"",""งบกองทุน!Ec88"")"),120320)</f>
        <v>120320</v>
      </c>
      <c r="M461" s="58">
        <f>SUM(M462:M465)</f>
        <v>9935.52</v>
      </c>
      <c r="N461" s="58">
        <f t="shared" ca="1" si="106"/>
        <v>8.2575797872340431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9935.52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IFERROR(__xludf.DUMMYFUNCTION("IMPORTRANGE(""https://docs.google.com/spreadsheets/d/1C3CXT74ZlgGe6_JY_1olB1XN4rF0dxEuIIF-xsYjHgg/edit?usp=sharing"",""งบกองทุน!Ed88"")"),1150)</f>
        <v>1150</v>
      </c>
      <c r="J466" s="283">
        <f>+J469+J470+J471+J472</f>
        <v>445</v>
      </c>
      <c r="K466" s="85">
        <f ca="1">IF(I466&gt;0,J466*100/I466,0)</f>
        <v>38.695652173913047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0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445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45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143795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53" t="s">
        <v>21</v>
      </c>
      <c r="J474" s="53"/>
      <c r="K474" s="54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53"/>
      <c r="J475" s="53"/>
      <c r="K475" s="54"/>
      <c r="L475" s="55">
        <f t="shared" ref="L475:M475" ca="1" si="110">SUM(L476:L477)</f>
        <v>143795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53"/>
      <c r="J476" s="53"/>
      <c r="K476" s="54"/>
      <c r="L476" s="58">
        <f ca="1">IFERROR(__xludf.DUMMYFUNCTION("IMPORTRANGE(""https://docs.google.com/spreadsheets/d/1C3CXT74ZlgGe6_JY_1olB1XN4rF0dxEuIIF-xsYjHgg/edit?usp=sharing"",""งบกองทุน!Ek88"")"),0)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53"/>
      <c r="J477" s="53"/>
      <c r="K477" s="54"/>
      <c r="L477" s="58">
        <f ca="1">IFERROR(__xludf.DUMMYFUNCTION("IMPORTRANGE(""https://docs.google.com/spreadsheets/d/1C3CXT74ZlgGe6_JY_1olB1XN4rF0dxEuIIF-xsYjHgg/edit?usp=sharing"",""งบกองทุน!El88"")"),143795)</f>
        <v>143795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9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9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IFERROR(__xludf.DUMMYFUNCTION("IMPORTRANGE(""https://docs.google.com/spreadsheets/d/1C3CXT74ZlgGe6_JY_1olB1XN4rF0dxEuIIF-xsYjHgg/edit?usp=sharing"",""งบกองทุน!Em88"")"),45)</f>
        <v>45</v>
      </c>
      <c r="J482" s="73">
        <f ca="1">IFERROR(__xludf.DUMMYFUNCTION("IMPORTRANGE(""https://docs.google.com/spreadsheets/d/1AGHcLOeeYFL3K4b9R1dSzyJy00PE_ra89DNTVfnxSWM/edit?usp=sharing"",""รวมที่ชุมชน!G77"")"),0)</f>
        <v>0</v>
      </c>
      <c r="K482" s="54">
        <f t="shared" ref="K482:K489" ca="1" si="111">IF(I482&gt;0,J482*100/I482,0)</f>
        <v>0</v>
      </c>
      <c r="L482" s="66"/>
      <c r="M482" s="66"/>
      <c r="N482" s="66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f ca="1">IFERROR(__xludf.DUMMYFUNCTION("IMPORTRANGE(""https://docs.google.com/spreadsheets/d/1C3CXT74ZlgGe6_JY_1olB1XN4rF0dxEuIIF-xsYjHgg/edit?usp=sharing"",""งบกองทุน!En88"")"),0)</f>
        <v>0</v>
      </c>
      <c r="J483" s="73">
        <f ca="1">IFERROR(__xludf.DUMMYFUNCTION("IMPORTRANGE(""https://docs.google.com/spreadsheets/d/1AGHcLOeeYFL3K4b9R1dSzyJy00PE_ra89DNTVfnxSWM/edit?usp=sharing"",""รวมที่ชุมชน!H77"")"),0)</f>
        <v>0</v>
      </c>
      <c r="K483" s="54">
        <f t="shared" ca="1" si="111"/>
        <v>0</v>
      </c>
      <c r="L483" s="66"/>
      <c r="M483" s="66"/>
      <c r="N483" s="66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IFERROR(__xludf.DUMMYFUNCTION("IMPORTRANGE(""https://docs.google.com/spreadsheets/d/1C3CXT74ZlgGe6_JY_1olB1XN4rF0dxEuIIF-xsYjHgg/edit?usp=sharing"",""งบกองทุน!Eo88"")"),45)</f>
        <v>45</v>
      </c>
      <c r="J484" s="73">
        <f ca="1">IFERROR(__xludf.DUMMYFUNCTION("IMPORTRANGE(""https://docs.google.com/spreadsheets/d/1AGHcLOeeYFL3K4b9R1dSzyJy00PE_ra89DNTVfnxSWM/edit?usp=sharing"",""รวมที่ชุมชน!J77"")"),0)</f>
        <v>0</v>
      </c>
      <c r="K484" s="54">
        <f t="shared" ca="1" si="111"/>
        <v>0</v>
      </c>
      <c r="L484" s="66"/>
      <c r="M484" s="66"/>
      <c r="N484" s="66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f ca="1">IFERROR(__xludf.DUMMYFUNCTION("IMPORTRANGE(""https://docs.google.com/spreadsheets/d/1C3CXT74ZlgGe6_JY_1olB1XN4rF0dxEuIIF-xsYjHgg/edit?usp=sharing"",""งบกองทุน!Ep88"")"),0)</f>
        <v>0</v>
      </c>
      <c r="J485" s="73">
        <f ca="1">IFERROR(__xludf.DUMMYFUNCTION("IMPORTRANGE(""https://docs.google.com/spreadsheets/d/1AGHcLOeeYFL3K4b9R1dSzyJy00PE_ra89DNTVfnxSWM/edit?usp=sharing"",""รวมที่ชุมชน!L77"")"),0)</f>
        <v>0</v>
      </c>
      <c r="K485" s="54">
        <f t="shared" ca="1" si="111"/>
        <v>0</v>
      </c>
      <c r="L485" s="66"/>
      <c r="M485" s="66"/>
      <c r="N485" s="66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IFERROR(__xludf.DUMMYFUNCTION("IMPORTRANGE(""https://docs.google.com/spreadsheets/d/1C3CXT74ZlgGe6_JY_1olB1XN4rF0dxEuIIF-xsYjHgg/edit?usp=sharing"",""งบกองทุน!Eq88"")"),45)</f>
        <v>45</v>
      </c>
      <c r="J486" s="73">
        <f ca="1">IFERROR(__xludf.DUMMYFUNCTION("IMPORTRANGE(""https://docs.google.com/spreadsheets/d/1AGHcLOeeYFL3K4b9R1dSzyJy00PE_ra89DNTVfnxSWM/edit?usp=sharing"",""รวมที่ชุมชน!S77"")"),0)</f>
        <v>0</v>
      </c>
      <c r="K486" s="54">
        <f t="shared" ca="1" si="111"/>
        <v>0</v>
      </c>
      <c r="L486" s="66"/>
      <c r="M486" s="66"/>
      <c r="N486" s="66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f ca="1">IFERROR(__xludf.DUMMYFUNCTION("IMPORTRANGE(""https://docs.google.com/spreadsheets/d/1C3CXT74ZlgGe6_JY_1olB1XN4rF0dxEuIIF-xsYjHgg/edit?usp=sharing"",""งบกองทุน!Er88"")"),0)</f>
        <v>0</v>
      </c>
      <c r="J487" s="73">
        <f ca="1">IFERROR(__xludf.DUMMYFUNCTION("IMPORTRANGE(""https://docs.google.com/spreadsheets/d/1AGHcLOeeYFL3K4b9R1dSzyJy00PE_ra89DNTVfnxSWM/edit?usp=sharing"",""รวมที่ชุมชน!U77"")"),0)</f>
        <v>0</v>
      </c>
      <c r="K487" s="54">
        <f t="shared" ca="1" si="111"/>
        <v>0</v>
      </c>
      <c r="L487" s="66"/>
      <c r="M487" s="66"/>
      <c r="N487" s="66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IFERROR(__xludf.DUMMYFUNCTION("IMPORTRANGE(""https://docs.google.com/spreadsheets/d/1C3CXT74ZlgGe6_JY_1olB1XN4rF0dxEuIIF-xsYjHgg/edit?usp=sharing"",""งบกองทุน!Es88"")"),45)</f>
        <v>45</v>
      </c>
      <c r="J488" s="73">
        <f ca="1">IFERROR(__xludf.DUMMYFUNCTION("IMPORTRANGE(""https://docs.google.com/spreadsheets/d/1AGHcLOeeYFL3K4b9R1dSzyJy00PE_ra89DNTVfnxSWM/edit?usp=sharing"",""รวมที่ชุมชน!V77"")"),0)</f>
        <v>0</v>
      </c>
      <c r="K488" s="54">
        <f t="shared" ca="1" si="111"/>
        <v>0</v>
      </c>
      <c r="L488" s="66"/>
      <c r="M488" s="66"/>
      <c r="N488" s="66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f ca="1">IFERROR(__xludf.DUMMYFUNCTION("IMPORTRANGE(""https://docs.google.com/spreadsheets/d/1C3CXT74ZlgGe6_JY_1olB1XN4rF0dxEuIIF-xsYjHgg/edit?usp=sharing"",""งบกองทุน!Et88"")"),0)</f>
        <v>0</v>
      </c>
      <c r="J489" s="120">
        <f ca="1">IFERROR(__xludf.DUMMYFUNCTION("IMPORTRANGE(""https://docs.google.com/spreadsheets/d/1AGHcLOeeYFL3K4b9R1dSzyJy00PE_ra89DNTVfnxSWM/edit?usp=sharing"",""รวมที่ชุมชน!X77"")"),0)</f>
        <v>0</v>
      </c>
      <c r="K489" s="122">
        <f t="shared" ca="1" si="111"/>
        <v>0</v>
      </c>
      <c r="L489" s="320"/>
      <c r="M489" s="320"/>
      <c r="N489" s="320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50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4550</v>
      </c>
      <c r="M490" s="277">
        <f>SUM(M491:M492)</f>
        <v>400</v>
      </c>
      <c r="N490" s="277">
        <f t="shared" ref="N490:N494" ca="1" si="113">+IF(L490&gt;0,M490*100/L490,0)</f>
        <v>8.791208791208792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4550</v>
      </c>
      <c r="M492" s="58">
        <f t="shared" si="114"/>
        <v>400</v>
      </c>
      <c r="N492" s="58">
        <f t="shared" ca="1" si="113"/>
        <v>8.791208791208792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IFERROR(__xludf.DUMMYFUNCTION("IMPORTRANGE(""https://docs.google.com/spreadsheets/d/1C3CXT74ZlgGe6_JY_1olB1XN4rF0dxEuIIF-xsYjHgg/edit?usp=sharing"",""งบกองทุน!Ev88"")"),0)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IFERROR(__xludf.DUMMYFUNCTION("IMPORTRANGE(""https://docs.google.com/spreadsheets/d/1C3CXT74ZlgGe6_JY_1olB1XN4rF0dxEuIIF-xsYjHgg/edit?usp=sharing"",""งบกองทุน!Ew88"")"),4550)</f>
        <v>4550</v>
      </c>
      <c r="M494" s="58">
        <f>SUM(M495:M498)</f>
        <v>400</v>
      </c>
      <c r="N494" s="58">
        <f t="shared" ca="1" si="113"/>
        <v>8.791208791208792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400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1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IFERROR(__xludf.DUMMYFUNCTION("IMPORTRANGE(""https://docs.google.com/spreadsheets/d/1C3CXT74ZlgGe6_JY_1olB1XN4rF0dxEuIIF-xsYjHgg/edit?usp=sharing"",""งบกองทุน!EZ88"")"),50)</f>
        <v>50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IFERROR(__xludf.DUMMYFUNCTION("IMPORTRANGE(""https://docs.google.com/spreadsheets/d/1C3CXT74ZlgGe6_JY_1olB1XN4rF0dxEuIIF-xsYjHgg/edit?usp=sharing"",""งบกองทุน!ff88"")"),0)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IFERROR(__xludf.DUMMYFUNCTION("IMPORTRANGE(""https://docs.google.com/spreadsheets/d/1muirlRDkqiswvy_NRZ3Yh955hx-PF6_HhssUYiSJj8o/edit?usp=sharing"",""กองทุน!D88"")"),1565319.63)</f>
        <v>1565319.63</v>
      </c>
      <c r="J521" s="214">
        <f ca="1">IFERROR(__xludf.DUMMYFUNCTION("IMPORTRANGE(""https://docs.google.com/spreadsheets/d/1muirlRDkqiswvy_NRZ3Yh955hx-PF6_HhssUYiSJj8o/edit?usp=sharing"",""กองทุน!F88"")"),0)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IFERROR(__xludf.DUMMYFUNCTION("IMPORTRANGE(""https://docs.google.com/spreadsheets/d/1muirlRDkqiswvy_NRZ3Yh955hx-PF6_HhssUYiSJj8o/edit?usp=sharing"",""กองทุน!C88"")"),158)</f>
        <v>158</v>
      </c>
      <c r="J522" s="214">
        <f ca="1">IFERROR(__xludf.DUMMYFUNCTION("IMPORTRANGE(""https://docs.google.com/spreadsheets/d/1muirlRDkqiswvy_NRZ3Yh955hx-PF6_HhssUYiSJj8o/edit?usp=sharing"",""กองทุน!E88"")"),0)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IFERROR(__xludf.DUMMYFUNCTION("IMPORTRANGE(""https://docs.google.com/spreadsheets/d/1muirlRDkqiswvy_NRZ3Yh955hx-PF6_HhssUYiSJj8o/edit?usp=sharing"",""กองทุน!I88"")"),1381479.45999999)</f>
        <v>1381479.45999999</v>
      </c>
      <c r="J523" s="214">
        <f ca="1">IFERROR(__xludf.DUMMYFUNCTION("IMPORTRANGE(""https://docs.google.com/spreadsheets/d/1muirlRDkqiswvy_NRZ3Yh955hx-PF6_HhssUYiSJj8o/edit?usp=sharing"",""กองทุน!K88"")"),15019.87)</f>
        <v>15019.87</v>
      </c>
      <c r="K523" s="215">
        <f t="shared" ca="1" si="118"/>
        <v>1.087230786623502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IFERROR(__xludf.DUMMYFUNCTION("IMPORTRANGE(""https://docs.google.com/spreadsheets/d/1muirlRDkqiswvy_NRZ3Yh955hx-PF6_HhssUYiSJj8o/edit?usp=sharing"",""กองทุน!H88"")"),58)</f>
        <v>58</v>
      </c>
      <c r="J524" s="214">
        <f ca="1">IFERROR(__xludf.DUMMYFUNCTION("IMPORTRANGE(""https://docs.google.com/spreadsheets/d/1muirlRDkqiswvy_NRZ3Yh955hx-PF6_HhssUYiSJj8o/edit?usp=sharing"",""กองทุน!J88"")"),6)</f>
        <v>6</v>
      </c>
      <c r="K524" s="215">
        <f t="shared" ca="1" si="118"/>
        <v>10.344827586206897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IFERROR(__xludf.DUMMYFUNCTION("IMPORTRANGE(""https://docs.google.com/spreadsheets/d/1muirlRDkqiswvy_NRZ3Yh955hx-PF6_HhssUYiSJj8o/edit?usp=sharing"",""กองทุน!N88"")"),0)</f>
        <v>0</v>
      </c>
      <c r="J525" s="214">
        <f ca="1">IFERROR(__xludf.DUMMYFUNCTION("IMPORTRANGE(""https://docs.google.com/spreadsheets/d/1muirlRDkqiswvy_NRZ3Yh955hx-PF6_HhssUYiSJj8o/edit?usp=sharing"",""กองทุน!P88"")"),0)</f>
        <v>0</v>
      </c>
      <c r="K525" s="215">
        <f t="shared" ca="1" si="118"/>
        <v>0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IFERROR(__xludf.DUMMYFUNCTION("IMPORTRANGE(""https://docs.google.com/spreadsheets/d/1muirlRDkqiswvy_NRZ3Yh955hx-PF6_HhssUYiSJj8o/edit?usp=sharing"",""กองทุน!M88"")"),0)</f>
        <v>0</v>
      </c>
      <c r="J526" s="214">
        <f ca="1">IFERROR(__xludf.DUMMYFUNCTION("IMPORTRANGE(""https://docs.google.com/spreadsheets/d/1muirlRDkqiswvy_NRZ3Yh955hx-PF6_HhssUYiSJj8o/edit?usp=sharing"",""กองทุน!O88"")"),0)</f>
        <v>0</v>
      </c>
      <c r="K526" s="215">
        <f t="shared" ca="1" si="118"/>
        <v>0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IFERROR(__xludf.DUMMYFUNCTION("IMPORTRANGE(""https://docs.google.com/spreadsheets/d/1muirlRDkqiswvy_NRZ3Yh955hx-PF6_HhssUYiSJj8o/edit?usp=sharing"",""กองทุน!S88"")"),1220000)</f>
        <v>1220000</v>
      </c>
      <c r="J527" s="214">
        <f ca="1">IFERROR(__xludf.DUMMYFUNCTION("IMPORTRANGE(""https://docs.google.com/spreadsheets/d/1muirlRDkqiswvy_NRZ3Yh955hx-PF6_HhssUYiSJj8o/edit?usp=sharing"",""กองทุน!U88"")"),0)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IFERROR(__xludf.DUMMYFUNCTION("IMPORTRANGE(""https://docs.google.com/spreadsheets/d/1muirlRDkqiswvy_NRZ3Yh955hx-PF6_HhssUYiSJj8o/edit?usp=sharing"",""กองทุน!R88"")"),41)</f>
        <v>41</v>
      </c>
      <c r="J528" s="342">
        <f ca="1">IFERROR(__xludf.DUMMYFUNCTION("IMPORTRANGE(""https://docs.google.com/spreadsheets/d/1muirlRDkqiswvy_NRZ3Yh955hx-PF6_HhssUYiSJj8o/edit?usp=sharing"",""กองทุน!T88"")"),0)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100" workbookViewId="0">
      <selection activeCell="K16" sqref="K1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18" customHeight="1" x14ac:dyDescent="0.55000000000000004">
      <c r="A2" s="425" t="s">
        <v>228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14" ht="18" customHeight="1" x14ac:dyDescent="0.55000000000000004">
      <c r="A3" s="425" t="s">
        <v>235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4" t="s">
        <v>2</v>
      </c>
      <c r="K4" s="5"/>
      <c r="L4" s="6"/>
      <c r="M4" s="7" t="s">
        <v>3</v>
      </c>
      <c r="N4" s="2"/>
    </row>
    <row r="5" spans="1:14" ht="21.75" customHeight="1" x14ac:dyDescent="0.55000000000000004">
      <c r="A5" s="427" t="s">
        <v>4</v>
      </c>
      <c r="B5" s="428"/>
      <c r="C5" s="428"/>
      <c r="D5" s="428"/>
      <c r="E5" s="428"/>
      <c r="F5" s="428"/>
      <c r="G5" s="429"/>
      <c r="H5" s="8" t="s">
        <v>5</v>
      </c>
      <c r="I5" s="9" t="s">
        <v>6</v>
      </c>
      <c r="J5" s="10" t="s">
        <v>7</v>
      </c>
      <c r="K5" s="11" t="s">
        <v>8</v>
      </c>
      <c r="L5" s="12" t="s">
        <v>9</v>
      </c>
      <c r="M5" s="13" t="s">
        <v>10</v>
      </c>
      <c r="N5" s="14" t="s">
        <v>8</v>
      </c>
    </row>
    <row r="6" spans="1:14" ht="21.75" customHeight="1" x14ac:dyDescent="0.55000000000000004">
      <c r="A6" s="15" t="s">
        <v>11</v>
      </c>
      <c r="B6" s="15"/>
      <c r="C6" s="15"/>
      <c r="D6" s="15"/>
      <c r="E6" s="15"/>
      <c r="F6" s="15"/>
      <c r="G6" s="15"/>
      <c r="H6" s="15"/>
      <c r="I6" s="17"/>
      <c r="J6" s="17"/>
      <c r="K6" s="18"/>
      <c r="L6" s="18">
        <f t="shared" ref="L6:M6" ca="1" si="0">L9+L32+L52+L68+L144+L169+L185+L199+L214+L228</f>
        <v>1092865</v>
      </c>
      <c r="M6" s="18">
        <f t="shared" si="0"/>
        <v>18225</v>
      </c>
      <c r="N6" s="19">
        <f ca="1">IF(L6&gt;0,M6*100/L6,0)</f>
        <v>1.6676350692903514</v>
      </c>
    </row>
    <row r="7" spans="1:14" ht="21.75" customHeight="1" x14ac:dyDescent="0.55000000000000004">
      <c r="A7" s="20" t="s">
        <v>12</v>
      </c>
      <c r="B7" s="22"/>
      <c r="C7" s="22"/>
      <c r="D7" s="22"/>
      <c r="E7" s="23"/>
      <c r="F7" s="23"/>
      <c r="G7" s="23"/>
      <c r="H7" s="24"/>
      <c r="I7" s="25"/>
      <c r="J7" s="25"/>
      <c r="K7" s="26"/>
      <c r="L7" s="27"/>
      <c r="M7" s="27"/>
      <c r="N7" s="27"/>
    </row>
    <row r="8" spans="1:14" ht="21.75" customHeight="1" x14ac:dyDescent="0.55000000000000004">
      <c r="A8" s="28" t="s">
        <v>13</v>
      </c>
      <c r="B8" s="31"/>
      <c r="C8" s="30"/>
      <c r="D8" s="31"/>
      <c r="E8" s="32"/>
      <c r="F8" s="32"/>
      <c r="G8" s="32"/>
      <c r="H8" s="33"/>
      <c r="I8" s="34"/>
      <c r="J8" s="34"/>
      <c r="K8" s="35"/>
      <c r="L8" s="36"/>
      <c r="M8" s="36"/>
      <c r="N8" s="37"/>
    </row>
    <row r="9" spans="1:14" ht="21.75" customHeight="1" x14ac:dyDescent="0.55000000000000004">
      <c r="A9" s="38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4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4">
        <f ca="1">IF(L9&gt;0,M9*100/L9,0)</f>
        <v>0</v>
      </c>
    </row>
    <row r="10" spans="1:14" ht="21.75" customHeight="1" x14ac:dyDescent="0.55000000000000004">
      <c r="A10" s="38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4">
        <f t="shared" ca="1" si="2"/>
        <v>0</v>
      </c>
      <c r="L10" s="45"/>
      <c r="M10" s="45"/>
      <c r="N10" s="44"/>
    </row>
    <row r="11" spans="1:14" ht="21.75" customHeight="1" x14ac:dyDescent="0.55000000000000004">
      <c r="A11" s="46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3" t="s">
        <v>21</v>
      </c>
      <c r="J11" s="73"/>
      <c r="K11" s="250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55000000000000004">
      <c r="A12" s="46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3"/>
      <c r="J12" s="73"/>
      <c r="K12" s="250"/>
      <c r="L12" s="58">
        <f ca="1">IFERROR(__xludf.DUMMYFUNCTION("IMPORTRANGE(""https://docs.google.com/spreadsheets/d/1C3CXT74ZlgGe6_JY_1olB1XN4rF0dxEuIIF-xsYjHgg/edit?usp=sharing"",""พรบ!C86"")"),0)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55000000000000004">
      <c r="A13" s="46"/>
      <c r="B13" s="48"/>
      <c r="C13" s="48"/>
      <c r="D13" s="56"/>
      <c r="E13" s="50"/>
      <c r="F13" s="50"/>
      <c r="G13" s="57" t="s">
        <v>23</v>
      </c>
      <c r="H13" s="52" t="s">
        <v>20</v>
      </c>
      <c r="I13" s="73"/>
      <c r="J13" s="73"/>
      <c r="K13" s="250"/>
      <c r="L13" s="58">
        <f ca="1">IFERROR(__xludf.DUMMYFUNCTION("IMPORTRANGE(""https://docs.google.com/spreadsheets/d/1C3CXT74ZlgGe6_JY_1olB1XN4rF0dxEuIIF-xsYjHgg/edit?usp=sharing"",""พรบ!D86"")"),0)</f>
        <v>0</v>
      </c>
      <c r="M13" s="58">
        <v>0</v>
      </c>
      <c r="N13" s="58">
        <f t="shared" ca="1" si="4"/>
        <v>0</v>
      </c>
    </row>
    <row r="14" spans="1:14" ht="21.75" customHeight="1" x14ac:dyDescent="0.55000000000000004">
      <c r="A14" s="46"/>
      <c r="B14" s="48"/>
      <c r="C14" s="48"/>
      <c r="D14" s="56"/>
      <c r="E14" s="50"/>
      <c r="F14" s="50"/>
      <c r="G14" s="57" t="s">
        <v>24</v>
      </c>
      <c r="H14" s="52" t="s">
        <v>20</v>
      </c>
      <c r="I14" s="73"/>
      <c r="J14" s="73"/>
      <c r="K14" s="250"/>
      <c r="L14" s="58">
        <f ca="1">IFERROR(__xludf.DUMMYFUNCTION("IMPORTRANGE(""https://docs.google.com/spreadsheets/d/1C3CXT74ZlgGe6_JY_1olB1XN4rF0dxEuIIF-xsYjHgg/edit?usp=sharing"",""พรบ!E86"")"),0)</f>
        <v>0</v>
      </c>
      <c r="M14" s="58">
        <v>0</v>
      </c>
      <c r="N14" s="58">
        <f t="shared" ca="1" si="4"/>
        <v>0</v>
      </c>
    </row>
    <row r="15" spans="1:14" ht="21.75" customHeight="1" x14ac:dyDescent="0.55000000000000004">
      <c r="A15" s="60"/>
      <c r="B15" s="67"/>
      <c r="C15" s="48" t="s">
        <v>17</v>
      </c>
      <c r="D15" s="62" t="s">
        <v>25</v>
      </c>
      <c r="E15" s="63"/>
      <c r="F15" s="63"/>
      <c r="G15" s="64"/>
      <c r="H15" s="65"/>
      <c r="I15" s="73"/>
      <c r="J15" s="73"/>
      <c r="K15" s="250"/>
      <c r="L15" s="58"/>
      <c r="M15" s="58"/>
      <c r="N15" s="58"/>
    </row>
    <row r="16" spans="1:14" ht="21.75" customHeight="1" x14ac:dyDescent="0.55000000000000004">
      <c r="A16" s="60"/>
      <c r="B16" s="67"/>
      <c r="C16" s="67"/>
      <c r="D16" s="68">
        <v>1</v>
      </c>
      <c r="E16" s="69" t="s">
        <v>26</v>
      </c>
      <c r="F16" s="70"/>
      <c r="G16" s="71"/>
      <c r="H16" s="72"/>
      <c r="I16" s="73"/>
      <c r="J16" s="73">
        <v>0</v>
      </c>
      <c r="K16" s="250"/>
      <c r="L16" s="58"/>
      <c r="M16" s="58"/>
      <c r="N16" s="58"/>
    </row>
    <row r="17" spans="1:14" ht="21.75" customHeight="1" x14ac:dyDescent="0.55000000000000004">
      <c r="A17" s="60"/>
      <c r="B17" s="67"/>
      <c r="C17" s="67"/>
      <c r="D17" s="75">
        <v>2</v>
      </c>
      <c r="E17" s="76" t="s">
        <v>27</v>
      </c>
      <c r="F17" s="77"/>
      <c r="G17" s="78"/>
      <c r="H17" s="72"/>
      <c r="I17" s="73"/>
      <c r="J17" s="73">
        <v>0</v>
      </c>
      <c r="K17" s="250"/>
      <c r="L17" s="58" t="s">
        <v>21</v>
      </c>
      <c r="M17" s="58" t="s">
        <v>21</v>
      </c>
      <c r="N17" s="58"/>
    </row>
    <row r="18" spans="1:14" ht="21.75" customHeight="1" x14ac:dyDescent="0.55000000000000004">
      <c r="A18" s="60"/>
      <c r="B18" s="67"/>
      <c r="C18" s="67"/>
      <c r="D18" s="61"/>
      <c r="E18" s="79" t="s">
        <v>28</v>
      </c>
      <c r="F18" s="80"/>
      <c r="G18" s="81"/>
      <c r="H18" s="72"/>
      <c r="I18" s="73"/>
      <c r="J18" s="73">
        <v>0</v>
      </c>
      <c r="K18" s="250"/>
      <c r="L18" s="58"/>
      <c r="M18" s="58"/>
      <c r="N18" s="58"/>
    </row>
    <row r="19" spans="1:14" ht="21.75" customHeight="1" x14ac:dyDescent="0.55000000000000004">
      <c r="A19" s="60"/>
      <c r="B19" s="67"/>
      <c r="C19" s="67"/>
      <c r="D19" s="61"/>
      <c r="E19" s="79" t="s">
        <v>29</v>
      </c>
      <c r="F19" s="80"/>
      <c r="G19" s="81"/>
      <c r="H19" s="72"/>
      <c r="I19" s="73"/>
      <c r="J19" s="73">
        <v>0</v>
      </c>
      <c r="K19" s="250"/>
      <c r="L19" s="58"/>
      <c r="M19" s="58"/>
      <c r="N19" s="58"/>
    </row>
    <row r="20" spans="1:14" ht="21.75" customHeight="1" x14ac:dyDescent="0.55000000000000004">
      <c r="A20" s="60"/>
      <c r="B20" s="67"/>
      <c r="C20" s="67"/>
      <c r="D20" s="61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79">
        <f ca="1">IF(I20&gt;0,J20*100/I20,0)</f>
        <v>0</v>
      </c>
      <c r="L20" s="58"/>
      <c r="M20" s="58"/>
      <c r="N20" s="58"/>
    </row>
    <row r="21" spans="1:14" ht="21.75" customHeight="1" x14ac:dyDescent="0.55000000000000004">
      <c r="A21" s="60"/>
      <c r="B21" s="67"/>
      <c r="C21" s="67"/>
      <c r="D21" s="61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79">
        <f t="shared" ref="K21:K28" ca="1" si="7">IF(I21&gt;0,J21*100/I21,0)</f>
        <v>0</v>
      </c>
      <c r="L21" s="58"/>
      <c r="M21" s="58"/>
      <c r="N21" s="58"/>
    </row>
    <row r="22" spans="1:14" ht="21.75" customHeight="1" x14ac:dyDescent="0.55000000000000004">
      <c r="A22" s="60"/>
      <c r="B22" s="67"/>
      <c r="C22" s="67"/>
      <c r="D22" s="61"/>
      <c r="E22" s="82"/>
      <c r="F22" s="80"/>
      <c r="G22" s="80" t="s">
        <v>31</v>
      </c>
      <c r="H22" s="65" t="s">
        <v>15</v>
      </c>
      <c r="I22" s="73">
        <f ca="1">IFERROR(__xludf.DUMMYFUNCTION("IMPORTRANGE(""https://docs.google.com/spreadsheets/d/1C3CXT74ZlgGe6_JY_1olB1XN4rF0dxEuIIF-xsYjHgg/edit?usp=sharing"",""พรบ!H86"")"),0)</f>
        <v>0</v>
      </c>
      <c r="J22" s="73">
        <v>0</v>
      </c>
      <c r="K22" s="250">
        <f t="shared" ca="1" si="7"/>
        <v>0</v>
      </c>
      <c r="L22" s="58"/>
      <c r="M22" s="58"/>
      <c r="N22" s="58"/>
    </row>
    <row r="23" spans="1:14" ht="21.75" customHeight="1" x14ac:dyDescent="0.55000000000000004">
      <c r="A23" s="60"/>
      <c r="B23" s="67"/>
      <c r="C23" s="67"/>
      <c r="D23" s="61"/>
      <c r="E23" s="82"/>
      <c r="F23" s="80"/>
      <c r="G23" s="81"/>
      <c r="H23" s="65" t="s">
        <v>16</v>
      </c>
      <c r="I23" s="73">
        <f ca="1">IFERROR(__xludf.DUMMYFUNCTION("IMPORTRANGE(""https://docs.google.com/spreadsheets/d/1C3CXT74ZlgGe6_JY_1olB1XN4rF0dxEuIIF-xsYjHgg/edit?usp=sharing"",""พรบ!I86"")"),0)</f>
        <v>0</v>
      </c>
      <c r="J23" s="73">
        <v>0</v>
      </c>
      <c r="K23" s="250">
        <f t="shared" ca="1" si="7"/>
        <v>0</v>
      </c>
      <c r="L23" s="58"/>
      <c r="M23" s="58"/>
      <c r="N23" s="58"/>
    </row>
    <row r="24" spans="1:14" ht="21.75" customHeight="1" x14ac:dyDescent="0.55000000000000004">
      <c r="A24" s="60"/>
      <c r="B24" s="67"/>
      <c r="C24" s="67"/>
      <c r="D24" s="61"/>
      <c r="E24" s="82"/>
      <c r="F24" s="80"/>
      <c r="G24" s="80" t="s">
        <v>32</v>
      </c>
      <c r="H24" s="65" t="s">
        <v>15</v>
      </c>
      <c r="I24" s="73">
        <f ca="1">IFERROR(__xludf.DUMMYFUNCTION("IMPORTRANGE(""https://docs.google.com/spreadsheets/d/1C3CXT74ZlgGe6_JY_1olB1XN4rF0dxEuIIF-xsYjHgg/edit?usp=sharing"",""พรบ!J86"")"),0)</f>
        <v>0</v>
      </c>
      <c r="J24" s="73">
        <v>0</v>
      </c>
      <c r="K24" s="250">
        <f t="shared" ca="1" si="7"/>
        <v>0</v>
      </c>
      <c r="L24" s="58"/>
      <c r="M24" s="58"/>
      <c r="N24" s="58"/>
    </row>
    <row r="25" spans="1:14" ht="21.75" customHeight="1" x14ac:dyDescent="0.55000000000000004">
      <c r="A25" s="60"/>
      <c r="B25" s="67"/>
      <c r="C25" s="67"/>
      <c r="D25" s="61"/>
      <c r="E25" s="82"/>
      <c r="F25" s="80"/>
      <c r="G25" s="81"/>
      <c r="H25" s="65" t="s">
        <v>16</v>
      </c>
      <c r="I25" s="73">
        <f ca="1">IFERROR(__xludf.DUMMYFUNCTION("IMPORTRANGE(""https://docs.google.com/spreadsheets/d/1C3CXT74ZlgGe6_JY_1olB1XN4rF0dxEuIIF-xsYjHgg/edit?usp=sharing"",""พรบ!K86"")"),0)</f>
        <v>0</v>
      </c>
      <c r="J25" s="73">
        <v>0</v>
      </c>
      <c r="K25" s="250">
        <f t="shared" ca="1" si="7"/>
        <v>0</v>
      </c>
      <c r="L25" s="58"/>
      <c r="M25" s="58"/>
      <c r="N25" s="58"/>
    </row>
    <row r="26" spans="1:14" ht="21.75" customHeight="1" x14ac:dyDescent="0.55000000000000004">
      <c r="A26" s="60"/>
      <c r="B26" s="67"/>
      <c r="C26" s="67"/>
      <c r="D26" s="61"/>
      <c r="E26" s="82"/>
      <c r="F26" s="80"/>
      <c r="G26" s="80" t="s">
        <v>33</v>
      </c>
      <c r="H26" s="65" t="s">
        <v>15</v>
      </c>
      <c r="I26" s="73">
        <f ca="1">IFERROR(__xludf.DUMMYFUNCTION("IMPORTRANGE(""https://docs.google.com/spreadsheets/d/1C3CXT74ZlgGe6_JY_1olB1XN4rF0dxEuIIF-xsYjHgg/edit?usp=sharing"",""พรบ!L86"")"),0)</f>
        <v>0</v>
      </c>
      <c r="J26" s="73">
        <v>0</v>
      </c>
      <c r="K26" s="250">
        <f t="shared" ca="1" si="7"/>
        <v>0</v>
      </c>
      <c r="L26" s="58"/>
      <c r="M26" s="58"/>
      <c r="N26" s="58"/>
    </row>
    <row r="27" spans="1:14" ht="21.75" customHeight="1" x14ac:dyDescent="0.55000000000000004">
      <c r="A27" s="60"/>
      <c r="B27" s="67"/>
      <c r="C27" s="67"/>
      <c r="D27" s="61"/>
      <c r="E27" s="82"/>
      <c r="F27" s="80"/>
      <c r="G27" s="81"/>
      <c r="H27" s="65" t="s">
        <v>16</v>
      </c>
      <c r="I27" s="73">
        <f ca="1">IFERROR(__xludf.DUMMYFUNCTION("IMPORTRANGE(""https://docs.google.com/spreadsheets/d/1C3CXT74ZlgGe6_JY_1olB1XN4rF0dxEuIIF-xsYjHgg/edit?usp=sharing"",""พรบ!M86"")"),0)</f>
        <v>0</v>
      </c>
      <c r="J27" s="73">
        <v>0</v>
      </c>
      <c r="K27" s="250">
        <f t="shared" ca="1" si="7"/>
        <v>0</v>
      </c>
      <c r="L27" s="58"/>
      <c r="M27" s="58"/>
      <c r="N27" s="58"/>
    </row>
    <row r="28" spans="1:14" ht="21.75" customHeight="1" x14ac:dyDescent="0.55000000000000004">
      <c r="A28" s="60"/>
      <c r="B28" s="67"/>
      <c r="C28" s="67"/>
      <c r="D28" s="61"/>
      <c r="E28" s="82"/>
      <c r="F28" s="79" t="s">
        <v>34</v>
      </c>
      <c r="G28" s="80"/>
      <c r="H28" s="65" t="s">
        <v>16</v>
      </c>
      <c r="I28" s="73">
        <f ca="1">IFERROR(__xludf.DUMMYFUNCTION("IMPORTRANGE(""https://docs.google.com/spreadsheets/d/1C3CXT74ZlgGe6_JY_1olB1XN4rF0dxEuIIF-xsYjHgg/edit?usp=sharing"",""พรบ!N86"")"),0)</f>
        <v>0</v>
      </c>
      <c r="J28" s="73">
        <v>0</v>
      </c>
      <c r="K28" s="250">
        <f t="shared" ca="1" si="7"/>
        <v>0</v>
      </c>
      <c r="L28" s="58"/>
      <c r="M28" s="58"/>
      <c r="N28" s="58"/>
    </row>
    <row r="29" spans="1:14" ht="21.75" customHeight="1" x14ac:dyDescent="0.55000000000000004">
      <c r="A29" s="60"/>
      <c r="B29" s="67"/>
      <c r="C29" s="67"/>
      <c r="D29" s="61"/>
      <c r="E29" s="79" t="s">
        <v>35</v>
      </c>
      <c r="F29" s="80"/>
      <c r="G29" s="81"/>
      <c r="H29" s="72"/>
      <c r="I29" s="73"/>
      <c r="J29" s="73">
        <v>0</v>
      </c>
      <c r="K29" s="250"/>
      <c r="L29" s="58"/>
      <c r="M29" s="58"/>
      <c r="N29" s="58"/>
    </row>
    <row r="30" spans="1:14" ht="21.75" customHeight="1" x14ac:dyDescent="0.55000000000000004">
      <c r="A30" s="60"/>
      <c r="B30" s="67"/>
      <c r="C30" s="67"/>
      <c r="D30" s="86">
        <v>3</v>
      </c>
      <c r="E30" s="87" t="s">
        <v>36</v>
      </c>
      <c r="F30" s="88"/>
      <c r="G30" s="89"/>
      <c r="H30" s="72"/>
      <c r="I30" s="73"/>
      <c r="J30" s="380">
        <v>0</v>
      </c>
      <c r="K30" s="250"/>
      <c r="L30" s="58"/>
      <c r="M30" s="58"/>
      <c r="N30" s="58"/>
    </row>
    <row r="31" spans="1:14" ht="21.75" customHeight="1" x14ac:dyDescent="0.55000000000000004">
      <c r="A31" s="91" t="s">
        <v>37</v>
      </c>
      <c r="B31" s="94"/>
      <c r="C31" s="93"/>
      <c r="D31" s="94"/>
      <c r="E31" s="95"/>
      <c r="F31" s="95"/>
      <c r="G31" s="96"/>
      <c r="H31" s="97"/>
      <c r="I31" s="98"/>
      <c r="J31" s="98"/>
      <c r="K31" s="99"/>
      <c r="L31" s="100"/>
      <c r="M31" s="100"/>
      <c r="N31" s="101"/>
    </row>
    <row r="32" spans="1:14" ht="21.75" customHeight="1" x14ac:dyDescent="0.55000000000000004">
      <c r="A32" s="38"/>
      <c r="B32" s="40" t="s">
        <v>38</v>
      </c>
      <c r="C32" s="40"/>
      <c r="D32" s="41"/>
      <c r="E32" s="40"/>
      <c r="F32" s="40"/>
      <c r="G32" s="102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4">
        <f t="shared" ref="K32:K33" ca="1" si="9">IF(I32&gt;0,J32*100/I32,0)</f>
        <v>0</v>
      </c>
      <c r="L32" s="103">
        <f ca="1">L34+L35</f>
        <v>0</v>
      </c>
      <c r="M32" s="103">
        <f>SUM(M34:M35)</f>
        <v>0</v>
      </c>
      <c r="N32" s="44">
        <f ca="1">IF(L32&gt;0,M32*100/L32,0)</f>
        <v>0</v>
      </c>
    </row>
    <row r="33" spans="1:14" ht="21.75" customHeight="1" x14ac:dyDescent="0.55000000000000004">
      <c r="A33" s="38"/>
      <c r="B33" s="40"/>
      <c r="C33" s="40"/>
      <c r="D33" s="41" t="s">
        <v>39</v>
      </c>
      <c r="E33" s="40"/>
      <c r="F33" s="40"/>
      <c r="G33" s="102"/>
      <c r="H33" s="42" t="s">
        <v>40</v>
      </c>
      <c r="I33" s="43">
        <f ca="1">I48</f>
        <v>0</v>
      </c>
      <c r="J33" s="43">
        <f>+J48</f>
        <v>0</v>
      </c>
      <c r="K33" s="44">
        <f t="shared" ca="1" si="9"/>
        <v>0</v>
      </c>
      <c r="L33" s="103"/>
      <c r="M33" s="103"/>
      <c r="N33" s="44"/>
    </row>
    <row r="34" spans="1:14" ht="21.75" customHeight="1" x14ac:dyDescent="0.55000000000000004">
      <c r="A34" s="46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3" t="s">
        <v>21</v>
      </c>
      <c r="J34" s="73"/>
      <c r="K34" s="250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55000000000000004">
      <c r="A35" s="46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3"/>
      <c r="J35" s="73"/>
      <c r="K35" s="250"/>
      <c r="L35" s="58">
        <f ca="1">IFERROR(__xludf.DUMMYFUNCTION("IMPORTRANGE(""https://docs.google.com/spreadsheets/d/1C3CXT74ZlgGe6_JY_1olB1XN4rF0dxEuIIF-xsYjHgg/edit?usp=sharing"",""พรบ!O86"")"),0)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55000000000000004">
      <c r="A36" s="46"/>
      <c r="B36" s="48"/>
      <c r="C36" s="48"/>
      <c r="D36" s="56"/>
      <c r="E36" s="50"/>
      <c r="F36" s="50"/>
      <c r="G36" s="57" t="s">
        <v>23</v>
      </c>
      <c r="H36" s="52" t="s">
        <v>20</v>
      </c>
      <c r="I36" s="73"/>
      <c r="J36" s="73"/>
      <c r="K36" s="250"/>
      <c r="L36" s="58">
        <f ca="1">IFERROR(__xludf.DUMMYFUNCTION("IMPORTRANGE(""https://docs.google.com/spreadsheets/d/1C3CXT74ZlgGe6_JY_1olB1XN4rF0dxEuIIF-xsYjHgg/edit?usp=sharing"",""พรบ!P86"")"),0)</f>
        <v>0</v>
      </c>
      <c r="M36" s="58">
        <v>0</v>
      </c>
      <c r="N36" s="58">
        <f t="shared" ca="1" si="10"/>
        <v>0</v>
      </c>
    </row>
    <row r="37" spans="1:14" ht="21.75" customHeight="1" x14ac:dyDescent="0.55000000000000004">
      <c r="A37" s="46"/>
      <c r="B37" s="48"/>
      <c r="C37" s="48"/>
      <c r="D37" s="56"/>
      <c r="E37" s="50"/>
      <c r="F37" s="50"/>
      <c r="G37" s="57" t="s">
        <v>24</v>
      </c>
      <c r="H37" s="52" t="s">
        <v>20</v>
      </c>
      <c r="I37" s="73"/>
      <c r="J37" s="73"/>
      <c r="K37" s="250"/>
      <c r="L37" s="58">
        <f ca="1">IFERROR(__xludf.DUMMYFUNCTION("IMPORTRANGE(""https://docs.google.com/spreadsheets/d/1C3CXT74ZlgGe6_JY_1olB1XN4rF0dxEuIIF-xsYjHgg/edit?usp=sharing"",""พรบ!Q86"")"),0)</f>
        <v>0</v>
      </c>
      <c r="M37" s="58">
        <v>0</v>
      </c>
      <c r="N37" s="58">
        <f t="shared" ca="1" si="10"/>
        <v>0</v>
      </c>
    </row>
    <row r="38" spans="1:14" ht="21.75" customHeight="1" x14ac:dyDescent="0.55000000000000004">
      <c r="A38" s="60"/>
      <c r="B38" s="67"/>
      <c r="C38" s="48" t="s">
        <v>17</v>
      </c>
      <c r="D38" s="62" t="s">
        <v>25</v>
      </c>
      <c r="E38" s="63"/>
      <c r="F38" s="63"/>
      <c r="G38" s="64"/>
      <c r="H38" s="65"/>
      <c r="I38" s="73"/>
      <c r="J38" s="73"/>
      <c r="K38" s="250"/>
      <c r="L38" s="58"/>
      <c r="M38" s="58"/>
      <c r="N38" s="58"/>
    </row>
    <row r="39" spans="1:14" ht="21.75" customHeight="1" x14ac:dyDescent="0.55000000000000004">
      <c r="A39" s="60"/>
      <c r="B39" s="67"/>
      <c r="C39" s="67"/>
      <c r="D39" s="68">
        <v>1</v>
      </c>
      <c r="E39" s="69" t="s">
        <v>26</v>
      </c>
      <c r="F39" s="70"/>
      <c r="G39" s="71"/>
      <c r="H39" s="72"/>
      <c r="I39" s="73"/>
      <c r="J39" s="73">
        <v>0</v>
      </c>
      <c r="K39" s="250"/>
      <c r="L39" s="58"/>
      <c r="M39" s="58"/>
      <c r="N39" s="58"/>
    </row>
    <row r="40" spans="1:14" ht="21.75" customHeight="1" x14ac:dyDescent="0.55000000000000004">
      <c r="A40" s="60"/>
      <c r="B40" s="67"/>
      <c r="C40" s="67"/>
      <c r="D40" s="75">
        <v>2</v>
      </c>
      <c r="E40" s="76" t="s">
        <v>27</v>
      </c>
      <c r="F40" s="77"/>
      <c r="G40" s="78"/>
      <c r="H40" s="72"/>
      <c r="I40" s="73"/>
      <c r="J40" s="73">
        <v>0</v>
      </c>
      <c r="K40" s="250"/>
      <c r="L40" s="58" t="s">
        <v>21</v>
      </c>
      <c r="M40" s="58" t="s">
        <v>21</v>
      </c>
      <c r="N40" s="58"/>
    </row>
    <row r="41" spans="1:14" ht="21.75" customHeight="1" x14ac:dyDescent="0.55000000000000004">
      <c r="A41" s="60"/>
      <c r="B41" s="67"/>
      <c r="C41" s="67"/>
      <c r="D41" s="61"/>
      <c r="E41" s="79" t="s">
        <v>28</v>
      </c>
      <c r="F41" s="80"/>
      <c r="G41" s="81"/>
      <c r="H41" s="72"/>
      <c r="I41" s="73"/>
      <c r="J41" s="73">
        <v>0</v>
      </c>
      <c r="K41" s="250"/>
      <c r="L41" s="58"/>
      <c r="M41" s="58"/>
      <c r="N41" s="58"/>
    </row>
    <row r="42" spans="1:14" ht="21.75" customHeight="1" x14ac:dyDescent="0.55000000000000004">
      <c r="A42" s="60"/>
      <c r="B42" s="67"/>
      <c r="C42" s="67"/>
      <c r="D42" s="61"/>
      <c r="E42" s="79" t="s">
        <v>29</v>
      </c>
      <c r="F42" s="80"/>
      <c r="G42" s="81"/>
      <c r="H42" s="72"/>
      <c r="I42" s="73"/>
      <c r="J42" s="73">
        <v>0</v>
      </c>
      <c r="K42" s="250"/>
      <c r="L42" s="58"/>
      <c r="M42" s="58"/>
      <c r="N42" s="58"/>
    </row>
    <row r="43" spans="1:14" ht="21.75" customHeight="1" x14ac:dyDescent="0.55000000000000004">
      <c r="A43" s="60"/>
      <c r="B43" s="67"/>
      <c r="C43" s="67"/>
      <c r="D43" s="61"/>
      <c r="E43" s="80"/>
      <c r="F43" s="80" t="s">
        <v>41</v>
      </c>
      <c r="G43" s="80"/>
      <c r="H43" s="65" t="s">
        <v>42</v>
      </c>
      <c r="I43" s="73">
        <f ca="1">IFERROR(__xludf.DUMMYFUNCTION("IMPORTRANGE(""https://docs.google.com/spreadsheets/d/1C3CXT74ZlgGe6_JY_1olB1XN4rF0dxEuIIF-xsYjHgg/edit?usp=sharing"",""พรบ!R86"")"),0)</f>
        <v>0</v>
      </c>
      <c r="J43" s="73">
        <v>0</v>
      </c>
      <c r="K43" s="250">
        <f t="shared" ref="K43:K48" ca="1" si="11">IF(I43&gt;0,J43*100/I43,0)</f>
        <v>0</v>
      </c>
      <c r="L43" s="58"/>
      <c r="M43" s="58"/>
      <c r="N43" s="58"/>
    </row>
    <row r="44" spans="1:14" ht="21.75" customHeight="1" x14ac:dyDescent="0.55000000000000004">
      <c r="A44" s="60"/>
      <c r="B44" s="67"/>
      <c r="C44" s="67"/>
      <c r="D44" s="61"/>
      <c r="E44" s="82"/>
      <c r="F44" s="79" t="s">
        <v>43</v>
      </c>
      <c r="G44" s="80"/>
      <c r="H44" s="65" t="s">
        <v>16</v>
      </c>
      <c r="I44" s="73">
        <f ca="1">IFERROR(__xludf.DUMMYFUNCTION("IMPORTRANGE(""https://docs.google.com/spreadsheets/d/1C3CXT74ZlgGe6_JY_1olB1XN4rF0dxEuIIF-xsYjHgg/edit?usp=sharing"",""พรบ!S86"")"),0)</f>
        <v>0</v>
      </c>
      <c r="J44" s="73">
        <v>0</v>
      </c>
      <c r="K44" s="250">
        <f t="shared" ca="1" si="11"/>
        <v>0</v>
      </c>
      <c r="L44" s="58"/>
      <c r="M44" s="58"/>
      <c r="N44" s="58"/>
    </row>
    <row r="45" spans="1:14" ht="21.75" customHeight="1" x14ac:dyDescent="0.55000000000000004">
      <c r="A45" s="60"/>
      <c r="B45" s="67"/>
      <c r="C45" s="67"/>
      <c r="D45" s="61"/>
      <c r="E45" s="82"/>
      <c r="F45" s="80"/>
      <c r="G45" s="104" t="s">
        <v>44</v>
      </c>
      <c r="H45" s="65" t="s">
        <v>16</v>
      </c>
      <c r="I45" s="73">
        <f ca="1">IFERROR(__xludf.DUMMYFUNCTION("IMPORTRANGE(""https://docs.google.com/spreadsheets/d/1C3CXT74ZlgGe6_JY_1olB1XN4rF0dxEuIIF-xsYjHgg/edit?usp=sharing"",""พรบ!T86"")"),0)</f>
        <v>0</v>
      </c>
      <c r="J45" s="73">
        <v>0</v>
      </c>
      <c r="K45" s="250">
        <f t="shared" ca="1" si="11"/>
        <v>0</v>
      </c>
      <c r="L45" s="58"/>
      <c r="M45" s="58"/>
      <c r="N45" s="58"/>
    </row>
    <row r="46" spans="1:14" ht="21.75" customHeight="1" x14ac:dyDescent="0.55000000000000004">
      <c r="A46" s="60"/>
      <c r="B46" s="67"/>
      <c r="C46" s="67"/>
      <c r="D46" s="61"/>
      <c r="E46" s="82"/>
      <c r="F46" s="80"/>
      <c r="G46" s="104" t="s">
        <v>45</v>
      </c>
      <c r="H46" s="65" t="s">
        <v>16</v>
      </c>
      <c r="I46" s="73">
        <f ca="1">IFERROR(__xludf.DUMMYFUNCTION("IMPORTRANGE(""https://docs.google.com/spreadsheets/d/1C3CXT74ZlgGe6_JY_1olB1XN4rF0dxEuIIF-xsYjHgg/edit?usp=sharing"",""พรบ!U86"")"),0)</f>
        <v>0</v>
      </c>
      <c r="J46" s="73">
        <v>0</v>
      </c>
      <c r="K46" s="250">
        <f t="shared" ca="1" si="11"/>
        <v>0</v>
      </c>
      <c r="L46" s="58"/>
      <c r="M46" s="58"/>
      <c r="N46" s="58"/>
    </row>
    <row r="47" spans="1:14" ht="21.75" customHeight="1" x14ac:dyDescent="0.55000000000000004">
      <c r="A47" s="60"/>
      <c r="B47" s="67"/>
      <c r="C47" s="67"/>
      <c r="D47" s="61"/>
      <c r="E47" s="82"/>
      <c r="F47" s="80"/>
      <c r="G47" s="105" t="s">
        <v>46</v>
      </c>
      <c r="H47" s="65" t="s">
        <v>16</v>
      </c>
      <c r="I47" s="73">
        <f ca="1">IFERROR(__xludf.DUMMYFUNCTION("IMPORTRANGE(""https://docs.google.com/spreadsheets/d/1C3CXT74ZlgGe6_JY_1olB1XN4rF0dxEuIIF-xsYjHgg/edit?usp=sharing"",""พรบ!V86"")"),0)</f>
        <v>0</v>
      </c>
      <c r="J47" s="73">
        <v>0</v>
      </c>
      <c r="K47" s="250">
        <f t="shared" ca="1" si="11"/>
        <v>0</v>
      </c>
      <c r="L47" s="58"/>
      <c r="M47" s="58"/>
      <c r="N47" s="58"/>
    </row>
    <row r="48" spans="1:14" ht="21.75" customHeight="1" x14ac:dyDescent="0.55000000000000004">
      <c r="A48" s="60"/>
      <c r="B48" s="67"/>
      <c r="C48" s="67"/>
      <c r="D48" s="61"/>
      <c r="E48" s="82"/>
      <c r="F48" s="80" t="s">
        <v>47</v>
      </c>
      <c r="G48" s="80"/>
      <c r="H48" s="65" t="s">
        <v>40</v>
      </c>
      <c r="I48" s="73">
        <f ca="1">IFERROR(__xludf.DUMMYFUNCTION("IMPORTRANGE(""https://docs.google.com/spreadsheets/d/1C3CXT74ZlgGe6_JY_1olB1XN4rF0dxEuIIF-xsYjHgg/edit?usp=sharing"",""พรบ!W86"")"),0)</f>
        <v>0</v>
      </c>
      <c r="J48" s="73">
        <v>0</v>
      </c>
      <c r="K48" s="250">
        <f t="shared" ca="1" si="11"/>
        <v>0</v>
      </c>
      <c r="L48" s="58"/>
      <c r="M48" s="58"/>
      <c r="N48" s="58"/>
    </row>
    <row r="49" spans="1:14" ht="21.75" customHeight="1" x14ac:dyDescent="0.55000000000000004">
      <c r="A49" s="60"/>
      <c r="B49" s="67"/>
      <c r="C49" s="67"/>
      <c r="D49" s="61"/>
      <c r="E49" s="79" t="s">
        <v>35</v>
      </c>
      <c r="F49" s="80"/>
      <c r="G49" s="81"/>
      <c r="H49" s="72"/>
      <c r="I49" s="73"/>
      <c r="J49" s="73">
        <v>0</v>
      </c>
      <c r="K49" s="250"/>
      <c r="L49" s="58"/>
      <c r="M49" s="58"/>
      <c r="N49" s="58"/>
    </row>
    <row r="50" spans="1:14" ht="21.75" customHeight="1" x14ac:dyDescent="0.55000000000000004">
      <c r="A50" s="60"/>
      <c r="B50" s="67"/>
      <c r="C50" s="67"/>
      <c r="D50" s="86">
        <v>3</v>
      </c>
      <c r="E50" s="87" t="s">
        <v>36</v>
      </c>
      <c r="F50" s="88"/>
      <c r="G50" s="89"/>
      <c r="H50" s="72"/>
      <c r="I50" s="73"/>
      <c r="J50" s="380">
        <v>0</v>
      </c>
      <c r="K50" s="250"/>
      <c r="L50" s="58"/>
      <c r="M50" s="58"/>
      <c r="N50" s="58"/>
    </row>
    <row r="51" spans="1:14" ht="21.75" customHeight="1" x14ac:dyDescent="0.55000000000000004">
      <c r="A51" s="91" t="s">
        <v>48</v>
      </c>
      <c r="B51" s="108"/>
      <c r="C51" s="107"/>
      <c r="D51" s="108"/>
      <c r="E51" s="109"/>
      <c r="F51" s="109"/>
      <c r="G51" s="110"/>
      <c r="H51" s="97"/>
      <c r="I51" s="98"/>
      <c r="J51" s="98"/>
      <c r="K51" s="99"/>
      <c r="L51" s="100"/>
      <c r="M51" s="100"/>
      <c r="N51" s="101"/>
    </row>
    <row r="52" spans="1:14" ht="21.75" customHeight="1" x14ac:dyDescent="0.55000000000000004">
      <c r="A52" s="38"/>
      <c r="B52" s="40" t="s">
        <v>219</v>
      </c>
      <c r="C52" s="111"/>
      <c r="D52" s="41"/>
      <c r="E52" s="40"/>
      <c r="F52" s="40"/>
      <c r="G52" s="102"/>
      <c r="H52" s="42" t="s">
        <v>16</v>
      </c>
      <c r="I52" s="43">
        <f ca="1">I62</f>
        <v>0</v>
      </c>
      <c r="J52" s="43">
        <f>+J62</f>
        <v>0</v>
      </c>
      <c r="K52" s="44">
        <f ca="1">IF(I52&gt;0,J52*100/I52,0)</f>
        <v>0</v>
      </c>
      <c r="L52" s="45">
        <f ca="1">L53+L54</f>
        <v>0</v>
      </c>
      <c r="M52" s="45">
        <f>SUM(M53:M54)</f>
        <v>0</v>
      </c>
      <c r="N52" s="44">
        <f ca="1">IF(L52&gt;0,M52*100/L52,0)</f>
        <v>0</v>
      </c>
    </row>
    <row r="53" spans="1:14" ht="21.75" customHeight="1" x14ac:dyDescent="0.55000000000000004">
      <c r="A53" s="46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3" t="s">
        <v>21</v>
      </c>
      <c r="J53" s="73"/>
      <c r="K53" s="250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55000000000000004">
      <c r="A54" s="46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3"/>
      <c r="J54" s="73"/>
      <c r="K54" s="250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55000000000000004">
      <c r="A55" s="46"/>
      <c r="B55" s="48"/>
      <c r="C55" s="48"/>
      <c r="D55" s="56"/>
      <c r="E55" s="50"/>
      <c r="F55" s="50"/>
      <c r="G55" s="57" t="s">
        <v>23</v>
      </c>
      <c r="H55" s="52" t="s">
        <v>20</v>
      </c>
      <c r="I55" s="73"/>
      <c r="J55" s="73"/>
      <c r="K55" s="250"/>
      <c r="L55" s="58">
        <f ca="1">IFERROR(__xludf.DUMMYFUNCTION("IMPORTRANGE(""https://docs.google.com/spreadsheets/d/1C3CXT74ZlgGe6_JY_1olB1XN4rF0dxEuIIF-xsYjHgg/edit?usp=sharing"",""พรบ!Y86"")"),0)</f>
        <v>0</v>
      </c>
      <c r="M55" s="58">
        <v>0</v>
      </c>
      <c r="N55" s="58">
        <f t="shared" ca="1" si="12"/>
        <v>0</v>
      </c>
    </row>
    <row r="56" spans="1:14" ht="21.75" customHeight="1" x14ac:dyDescent="0.55000000000000004">
      <c r="A56" s="46"/>
      <c r="B56" s="48"/>
      <c r="C56" s="48"/>
      <c r="D56" s="56"/>
      <c r="E56" s="50"/>
      <c r="F56" s="50"/>
      <c r="G56" s="57" t="s">
        <v>24</v>
      </c>
      <c r="H56" s="52" t="s">
        <v>20</v>
      </c>
      <c r="I56" s="73"/>
      <c r="J56" s="73"/>
      <c r="K56" s="250"/>
      <c r="L56" s="58">
        <f ca="1">IFERROR(__xludf.DUMMYFUNCTION("IMPORTRANGE(""https://docs.google.com/spreadsheets/d/1C3CXT74ZlgGe6_JY_1olB1XN4rF0dxEuIIF-xsYjHgg/edit?usp=sharing"",""พรบ!Z86"")"),0)</f>
        <v>0</v>
      </c>
      <c r="M56" s="58">
        <v>0</v>
      </c>
      <c r="N56" s="58">
        <f t="shared" ca="1" si="12"/>
        <v>0</v>
      </c>
    </row>
    <row r="57" spans="1:14" ht="21.75" customHeight="1" x14ac:dyDescent="0.55000000000000004">
      <c r="A57" s="60"/>
      <c r="B57" s="67"/>
      <c r="C57" s="48" t="s">
        <v>17</v>
      </c>
      <c r="D57" s="62" t="s">
        <v>236</v>
      </c>
      <c r="E57" s="63"/>
      <c r="F57" s="63"/>
      <c r="G57" s="64"/>
      <c r="H57" s="65"/>
      <c r="I57" s="73"/>
      <c r="J57" s="73"/>
      <c r="K57" s="250"/>
      <c r="L57" s="58"/>
      <c r="M57" s="58"/>
      <c r="N57" s="58"/>
    </row>
    <row r="58" spans="1:14" ht="21.75" customHeight="1" x14ac:dyDescent="0.55000000000000004">
      <c r="A58" s="60"/>
      <c r="B58" s="67"/>
      <c r="C58" s="67"/>
      <c r="D58" s="68">
        <v>1</v>
      </c>
      <c r="E58" s="69" t="s">
        <v>26</v>
      </c>
      <c r="F58" s="70"/>
      <c r="G58" s="71"/>
      <c r="H58" s="72"/>
      <c r="I58" s="73"/>
      <c r="J58" s="73">
        <v>0</v>
      </c>
      <c r="K58" s="250"/>
      <c r="L58" s="58"/>
      <c r="M58" s="58"/>
      <c r="N58" s="58"/>
    </row>
    <row r="59" spans="1:14" ht="21.75" customHeight="1" x14ac:dyDescent="0.55000000000000004">
      <c r="A59" s="60"/>
      <c r="B59" s="67"/>
      <c r="C59" s="67"/>
      <c r="D59" s="75">
        <v>2</v>
      </c>
      <c r="E59" s="76" t="s">
        <v>27</v>
      </c>
      <c r="F59" s="77"/>
      <c r="G59" s="78"/>
      <c r="H59" s="72"/>
      <c r="I59" s="73"/>
      <c r="J59" s="73">
        <v>0</v>
      </c>
      <c r="K59" s="250"/>
      <c r="L59" s="58" t="s">
        <v>21</v>
      </c>
      <c r="M59" s="58" t="s">
        <v>21</v>
      </c>
      <c r="N59" s="58"/>
    </row>
    <row r="60" spans="1:14" ht="21.75" customHeight="1" x14ac:dyDescent="0.55000000000000004">
      <c r="A60" s="60"/>
      <c r="B60" s="67"/>
      <c r="C60" s="67"/>
      <c r="D60" s="61"/>
      <c r="E60" s="79" t="s">
        <v>28</v>
      </c>
      <c r="F60" s="80"/>
      <c r="G60" s="81"/>
      <c r="H60" s="72"/>
      <c r="I60" s="73"/>
      <c r="J60" s="73">
        <v>0</v>
      </c>
      <c r="K60" s="250"/>
      <c r="L60" s="58"/>
      <c r="M60" s="58"/>
      <c r="N60" s="58"/>
    </row>
    <row r="61" spans="1:14" ht="21.75" customHeight="1" x14ac:dyDescent="0.55000000000000004">
      <c r="A61" s="60"/>
      <c r="B61" s="67"/>
      <c r="C61" s="67"/>
      <c r="D61" s="61"/>
      <c r="E61" s="79" t="s">
        <v>29</v>
      </c>
      <c r="F61" s="80"/>
      <c r="G61" s="81"/>
      <c r="H61" s="72"/>
      <c r="I61" s="73"/>
      <c r="J61" s="73">
        <v>0</v>
      </c>
      <c r="K61" s="250"/>
      <c r="L61" s="58"/>
      <c r="M61" s="58"/>
      <c r="N61" s="58"/>
    </row>
    <row r="62" spans="1:14" ht="21.75" customHeight="1" x14ac:dyDescent="0.55000000000000004">
      <c r="A62" s="60"/>
      <c r="B62" s="67"/>
      <c r="C62" s="67"/>
      <c r="D62" s="61"/>
      <c r="E62" s="82"/>
      <c r="F62" s="79" t="s">
        <v>50</v>
      </c>
      <c r="G62" s="81"/>
      <c r="H62" s="65" t="s">
        <v>16</v>
      </c>
      <c r="I62" s="73">
        <f ca="1">IFERROR(__xludf.DUMMYFUNCTION("IMPORTRANGE(""https://docs.google.com/spreadsheets/d/1C3CXT74ZlgGe6_JY_1olB1XN4rF0dxEuIIF-xsYjHgg/edit?usp=sharing"",""พรบ!AA86"")"),0)</f>
        <v>0</v>
      </c>
      <c r="J62" s="73">
        <v>0</v>
      </c>
      <c r="K62" s="250">
        <f t="shared" ref="K62:K63" ca="1" si="14">IF(I62&gt;0,J62*100/I62,0)</f>
        <v>0</v>
      </c>
      <c r="L62" s="58"/>
      <c r="M62" s="58"/>
      <c r="N62" s="58"/>
    </row>
    <row r="63" spans="1:14" ht="21.75" customHeight="1" x14ac:dyDescent="0.55000000000000004">
      <c r="A63" s="60"/>
      <c r="B63" s="67"/>
      <c r="C63" s="67"/>
      <c r="D63" s="61"/>
      <c r="E63" s="82"/>
      <c r="F63" s="79" t="s">
        <v>51</v>
      </c>
      <c r="G63" s="81"/>
      <c r="H63" s="65" t="s">
        <v>16</v>
      </c>
      <c r="I63" s="73">
        <f ca="1">I62</f>
        <v>0</v>
      </c>
      <c r="J63" s="73">
        <v>0</v>
      </c>
      <c r="K63" s="250">
        <f t="shared" ca="1" si="14"/>
        <v>0</v>
      </c>
      <c r="L63" s="58"/>
      <c r="M63" s="58"/>
      <c r="N63" s="58"/>
    </row>
    <row r="64" spans="1:14" ht="21.75" customHeight="1" x14ac:dyDescent="0.55000000000000004">
      <c r="A64" s="60"/>
      <c r="B64" s="67"/>
      <c r="C64" s="67"/>
      <c r="D64" s="61"/>
      <c r="E64" s="79" t="s">
        <v>35</v>
      </c>
      <c r="F64" s="80"/>
      <c r="G64" s="81"/>
      <c r="H64" s="72"/>
      <c r="I64" s="73"/>
      <c r="J64" s="73">
        <v>0</v>
      </c>
      <c r="K64" s="250"/>
      <c r="L64" s="58"/>
      <c r="M64" s="58"/>
      <c r="N64" s="58"/>
    </row>
    <row r="65" spans="1:14" ht="21.75" customHeight="1" x14ac:dyDescent="0.55000000000000004">
      <c r="A65" s="112"/>
      <c r="B65" s="114"/>
      <c r="C65" s="114"/>
      <c r="D65" s="115">
        <v>3</v>
      </c>
      <c r="E65" s="116" t="s">
        <v>36</v>
      </c>
      <c r="F65" s="117"/>
      <c r="G65" s="118"/>
      <c r="H65" s="119"/>
      <c r="I65" s="120"/>
      <c r="J65" s="384">
        <v>0</v>
      </c>
      <c r="K65" s="385"/>
      <c r="L65" s="386"/>
      <c r="M65" s="386"/>
      <c r="N65" s="386"/>
    </row>
    <row r="66" spans="1:14" ht="21.75" customHeight="1" x14ac:dyDescent="0.55000000000000004">
      <c r="A66" s="124" t="s">
        <v>52</v>
      </c>
      <c r="B66" s="126"/>
      <c r="C66" s="126"/>
      <c r="D66" s="126"/>
      <c r="E66" s="127"/>
      <c r="F66" s="127"/>
      <c r="G66" s="128"/>
      <c r="H66" s="129"/>
      <c r="I66" s="130"/>
      <c r="J66" s="130"/>
      <c r="K66" s="131"/>
      <c r="L66" s="132"/>
      <c r="M66" s="132"/>
      <c r="N66" s="132"/>
    </row>
    <row r="67" spans="1:14" ht="21.75" customHeight="1" x14ac:dyDescent="0.55000000000000004">
      <c r="A67" s="133" t="s">
        <v>53</v>
      </c>
      <c r="B67" s="135"/>
      <c r="C67" s="135"/>
      <c r="D67" s="136"/>
      <c r="E67" s="136"/>
      <c r="F67" s="136"/>
      <c r="G67" s="137"/>
      <c r="H67" s="138"/>
      <c r="I67" s="139"/>
      <c r="J67" s="139"/>
      <c r="K67" s="140"/>
      <c r="L67" s="140"/>
      <c r="M67" s="140"/>
      <c r="N67" s="141"/>
    </row>
    <row r="68" spans="1:14" ht="21.75" customHeight="1" x14ac:dyDescent="0.55000000000000004">
      <c r="A68" s="142"/>
      <c r="B68" s="145" t="s">
        <v>54</v>
      </c>
      <c r="C68" s="144"/>
      <c r="D68" s="145"/>
      <c r="E68" s="145"/>
      <c r="F68" s="145"/>
      <c r="G68" s="146"/>
      <c r="H68" s="147" t="s">
        <v>16</v>
      </c>
      <c r="I68" s="148">
        <f t="shared" ref="I68:J68" ca="1" si="15">I126+I129</f>
        <v>15</v>
      </c>
      <c r="J68" s="148">
        <f t="shared" si="15"/>
        <v>0</v>
      </c>
      <c r="K68" s="149">
        <f ca="1">IF(I68&gt;0,J68*100/I68,0)</f>
        <v>0</v>
      </c>
      <c r="L68" s="150">
        <f t="shared" ref="L68:M68" ca="1" si="16">SUM(L70:L71)</f>
        <v>376600</v>
      </c>
      <c r="M68" s="150">
        <f t="shared" si="16"/>
        <v>2500</v>
      </c>
      <c r="N68" s="149">
        <f ca="1">IF(L68&gt;0,M68*100/L68,0)</f>
        <v>0.66383430695698353</v>
      </c>
    </row>
    <row r="69" spans="1:14" ht="21.75" customHeight="1" x14ac:dyDescent="0.55000000000000004">
      <c r="A69" s="142"/>
      <c r="B69" s="145" t="s">
        <v>55</v>
      </c>
      <c r="C69" s="144"/>
      <c r="D69" s="145"/>
      <c r="E69" s="145"/>
      <c r="F69" s="145"/>
      <c r="G69" s="146"/>
      <c r="H69" s="147"/>
      <c r="I69" s="148"/>
      <c r="J69" s="148"/>
      <c r="K69" s="149"/>
      <c r="L69" s="150"/>
      <c r="M69" s="150"/>
      <c r="N69" s="149"/>
    </row>
    <row r="70" spans="1:14" ht="21.75" customHeight="1" x14ac:dyDescent="0.55000000000000004">
      <c r="A70" s="46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55000000000000004">
      <c r="A71" s="46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376600</v>
      </c>
      <c r="M71" s="151">
        <f>SUM(M72:M73)</f>
        <v>2500</v>
      </c>
      <c r="N71" s="55">
        <f t="shared" ca="1" si="17"/>
        <v>0.66383430695698353</v>
      </c>
    </row>
    <row r="72" spans="1:14" ht="21.75" customHeight="1" x14ac:dyDescent="0.55000000000000004">
      <c r="A72" s="46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IFERROR(__xludf.DUMMYFUNCTION("IMPORTRANGE(""https://docs.google.com/spreadsheets/d/1C3CXT74ZlgGe6_JY_1olB1XN4rF0dxEuIIF-xsYjHgg/edit?usp=sharing"",""พรบ!AD86"")"),318000)</f>
        <v>318000</v>
      </c>
      <c r="M72" s="59">
        <v>0</v>
      </c>
      <c r="N72" s="58">
        <f t="shared" ca="1" si="17"/>
        <v>0</v>
      </c>
    </row>
    <row r="73" spans="1:14" ht="21.75" customHeight="1" x14ac:dyDescent="0.55000000000000004">
      <c r="A73" s="46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58600</v>
      </c>
      <c r="M73" s="58">
        <f t="shared" si="18"/>
        <v>2500</v>
      </c>
      <c r="N73" s="58">
        <f t="shared" ca="1" si="17"/>
        <v>4.2662116040955631</v>
      </c>
    </row>
    <row r="74" spans="1:14" ht="21.75" customHeight="1" x14ac:dyDescent="0.55000000000000004">
      <c r="A74" s="152"/>
      <c r="B74" s="381"/>
      <c r="C74" s="154" t="s">
        <v>56</v>
      </c>
      <c r="D74" s="154"/>
      <c r="E74" s="154"/>
      <c r="F74" s="154"/>
      <c r="G74" s="155"/>
      <c r="H74" s="156" t="s">
        <v>57</v>
      </c>
      <c r="I74" s="157">
        <f t="shared" ref="I74:J74" ca="1" si="19">I83</f>
        <v>4</v>
      </c>
      <c r="J74" s="157">
        <f t="shared" si="19"/>
        <v>0</v>
      </c>
      <c r="K74" s="158">
        <f ca="1">IF(I74&gt;0,J74*100/I74,0)</f>
        <v>0</v>
      </c>
      <c r="L74" s="159">
        <f ca="1">L75+L76</f>
        <v>7500</v>
      </c>
      <c r="M74" s="159">
        <f>SUM(M75:M76)</f>
        <v>2500</v>
      </c>
      <c r="N74" s="159">
        <f t="shared" ca="1" si="17"/>
        <v>33.333333333333336</v>
      </c>
    </row>
    <row r="75" spans="1:14" ht="21.75" customHeight="1" x14ac:dyDescent="0.55000000000000004">
      <c r="A75" s="46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55000000000000004">
      <c r="A76" s="46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2500</v>
      </c>
      <c r="N76" s="55">
        <f t="shared" ca="1" si="17"/>
        <v>33.333333333333336</v>
      </c>
    </row>
    <row r="77" spans="1:14" ht="21.75" customHeight="1" x14ac:dyDescent="0.55000000000000004">
      <c r="A77" s="46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IFERROR(__xludf.DUMMYFUNCTION("IMPORTRANGE(""https://docs.google.com/spreadsheets/d/1C3CXT74ZlgGe6_JY_1olB1XN4rF0dxEuIIF-xsYjHgg/edit?usp=sharing"",""พรบ!AF86"")"),7500)</f>
        <v>7500</v>
      </c>
      <c r="M77" s="59">
        <v>2500</v>
      </c>
      <c r="N77" s="58">
        <f t="shared" ca="1" si="17"/>
        <v>33.333333333333336</v>
      </c>
    </row>
    <row r="78" spans="1:14" ht="21.75" customHeight="1" x14ac:dyDescent="0.55000000000000004">
      <c r="A78" s="60"/>
      <c r="B78" s="67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55000000000000004">
      <c r="A79" s="60"/>
      <c r="B79" s="67"/>
      <c r="C79" s="67"/>
      <c r="D79" s="68">
        <v>1</v>
      </c>
      <c r="E79" s="69" t="s">
        <v>26</v>
      </c>
      <c r="F79" s="70"/>
      <c r="G79" s="71"/>
      <c r="H79" s="72"/>
      <c r="I79" s="73"/>
      <c r="J79" s="74">
        <v>0</v>
      </c>
      <c r="K79" s="54"/>
      <c r="L79" s="66"/>
      <c r="M79" s="66"/>
      <c r="N79" s="66"/>
    </row>
    <row r="80" spans="1:14" ht="21.75" customHeight="1" x14ac:dyDescent="0.55000000000000004">
      <c r="A80" s="60"/>
      <c r="B80" s="67"/>
      <c r="C80" s="67"/>
      <c r="D80" s="75">
        <v>2</v>
      </c>
      <c r="E80" s="76" t="s">
        <v>27</v>
      </c>
      <c r="F80" s="77"/>
      <c r="G80" s="78"/>
      <c r="H80" s="72"/>
      <c r="I80" s="73"/>
      <c r="J80" s="74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55000000000000004">
      <c r="A81" s="60"/>
      <c r="B81" s="67"/>
      <c r="C81" s="67"/>
      <c r="D81" s="61"/>
      <c r="E81" s="79" t="s">
        <v>28</v>
      </c>
      <c r="F81" s="80"/>
      <c r="G81" s="81"/>
      <c r="H81" s="72"/>
      <c r="I81" s="73"/>
      <c r="J81" s="74">
        <v>1</v>
      </c>
      <c r="K81" s="54"/>
      <c r="L81" s="66"/>
      <c r="M81" s="66"/>
      <c r="N81" s="66"/>
    </row>
    <row r="82" spans="1:14" ht="21.75" customHeight="1" x14ac:dyDescent="0.55000000000000004">
      <c r="A82" s="60"/>
      <c r="B82" s="67"/>
      <c r="C82" s="67"/>
      <c r="D82" s="61"/>
      <c r="E82" s="79" t="s">
        <v>29</v>
      </c>
      <c r="F82" s="80"/>
      <c r="G82" s="81"/>
      <c r="H82" s="72"/>
      <c r="I82" s="73"/>
      <c r="J82" s="74">
        <v>0</v>
      </c>
      <c r="K82" s="54"/>
      <c r="L82" s="66"/>
      <c r="M82" s="66"/>
      <c r="N82" s="66"/>
    </row>
    <row r="83" spans="1:14" ht="21.75" customHeight="1" x14ac:dyDescent="0.55000000000000004">
      <c r="A83" s="60"/>
      <c r="B83" s="67"/>
      <c r="C83" s="67"/>
      <c r="D83" s="61"/>
      <c r="E83" s="82"/>
      <c r="F83" s="79" t="s">
        <v>58</v>
      </c>
      <c r="G83" s="81"/>
      <c r="H83" s="65" t="s">
        <v>57</v>
      </c>
      <c r="I83" s="73">
        <f ca="1">IFERROR(__xludf.DUMMYFUNCTION("IMPORTRANGE(""https://docs.google.com/spreadsheets/d/1C3CXT74ZlgGe6_JY_1olB1XN4rF0dxEuIIF-xsYjHgg/edit?usp=sharing"",""พรบ!AG86"")"),4)</f>
        <v>4</v>
      </c>
      <c r="J83" s="74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55000000000000004">
      <c r="A84" s="60"/>
      <c r="B84" s="67"/>
      <c r="C84" s="67"/>
      <c r="D84" s="61"/>
      <c r="E84" s="80"/>
      <c r="F84" s="80" t="s">
        <v>59</v>
      </c>
      <c r="G84" s="81"/>
      <c r="H84" s="72" t="s">
        <v>16</v>
      </c>
      <c r="I84" s="73"/>
      <c r="J84" s="73">
        <f>J85+J86</f>
        <v>0</v>
      </c>
      <c r="K84" s="54"/>
      <c r="L84" s="66"/>
      <c r="M84" s="66"/>
      <c r="N84" s="66"/>
    </row>
    <row r="85" spans="1:14" ht="21.75" customHeight="1" x14ac:dyDescent="0.55000000000000004">
      <c r="A85" s="60"/>
      <c r="B85" s="67"/>
      <c r="C85" s="67"/>
      <c r="D85" s="61"/>
      <c r="E85" s="80"/>
      <c r="F85" s="80"/>
      <c r="G85" s="81" t="s">
        <v>60</v>
      </c>
      <c r="H85" s="72" t="s">
        <v>16</v>
      </c>
      <c r="I85" s="73"/>
      <c r="J85" s="382">
        <v>0</v>
      </c>
      <c r="K85" s="54"/>
      <c r="L85" s="66"/>
      <c r="M85" s="66"/>
      <c r="N85" s="66"/>
    </row>
    <row r="86" spans="1:14" ht="21.75" customHeight="1" x14ac:dyDescent="0.55000000000000004">
      <c r="A86" s="60"/>
      <c r="B86" s="67"/>
      <c r="C86" s="67"/>
      <c r="D86" s="61"/>
      <c r="E86" s="80"/>
      <c r="F86" s="80"/>
      <c r="G86" s="81" t="s">
        <v>61</v>
      </c>
      <c r="H86" s="72" t="s">
        <v>16</v>
      </c>
      <c r="I86" s="73"/>
      <c r="J86" s="382">
        <v>0</v>
      </c>
      <c r="K86" s="54"/>
      <c r="L86" s="66"/>
      <c r="M86" s="66"/>
      <c r="N86" s="66"/>
    </row>
    <row r="87" spans="1:14" ht="21.75" customHeight="1" x14ac:dyDescent="0.55000000000000004">
      <c r="A87" s="60"/>
      <c r="B87" s="67"/>
      <c r="C87" s="67"/>
      <c r="D87" s="61"/>
      <c r="E87" s="79" t="s">
        <v>35</v>
      </c>
      <c r="F87" s="80"/>
      <c r="G87" s="81"/>
      <c r="H87" s="72"/>
      <c r="I87" s="73"/>
      <c r="J87" s="74">
        <v>0</v>
      </c>
      <c r="K87" s="54"/>
      <c r="L87" s="66"/>
      <c r="M87" s="66"/>
      <c r="N87" s="66"/>
    </row>
    <row r="88" spans="1:14" ht="21.75" customHeight="1" x14ac:dyDescent="0.55000000000000004">
      <c r="A88" s="60"/>
      <c r="B88" s="67"/>
      <c r="C88" s="67"/>
      <c r="D88" s="86">
        <v>3</v>
      </c>
      <c r="E88" s="87" t="s">
        <v>36</v>
      </c>
      <c r="F88" s="88"/>
      <c r="G88" s="89"/>
      <c r="H88" s="72"/>
      <c r="I88" s="73"/>
      <c r="J88" s="90">
        <v>0</v>
      </c>
      <c r="K88" s="54"/>
      <c r="L88" s="66"/>
      <c r="M88" s="66"/>
      <c r="N88" s="66"/>
    </row>
    <row r="89" spans="1:14" ht="21.75" customHeight="1" x14ac:dyDescent="0.55000000000000004">
      <c r="A89" s="152"/>
      <c r="B89" s="381"/>
      <c r="C89" s="154" t="s">
        <v>62</v>
      </c>
      <c r="D89" s="154"/>
      <c r="E89" s="154"/>
      <c r="F89" s="154"/>
      <c r="G89" s="155"/>
      <c r="H89" s="160" t="s">
        <v>63</v>
      </c>
      <c r="I89" s="161">
        <f t="shared" ref="I89:J89" ca="1" si="21">I98</f>
        <v>2</v>
      </c>
      <c r="J89" s="161">
        <f t="shared" si="21"/>
        <v>0</v>
      </c>
      <c r="K89" s="162">
        <f ca="1">IF(I89&gt;0,J89*100/I89,0)</f>
        <v>0</v>
      </c>
      <c r="L89" s="159">
        <f ca="1">L90+L91</f>
        <v>28000</v>
      </c>
      <c r="M89" s="159">
        <f>SUM(M90:M91)</f>
        <v>0</v>
      </c>
      <c r="N89" s="159">
        <f t="shared" ref="N89:N92" ca="1" si="22">+IF(L89&gt;0,M89*100/L89,0)</f>
        <v>0</v>
      </c>
    </row>
    <row r="90" spans="1:14" ht="21.75" customHeight="1" x14ac:dyDescent="0.55000000000000004">
      <c r="A90" s="46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55000000000000004">
      <c r="A91" s="46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55000000000000004">
      <c r="A92" s="46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IFERROR(__xludf.DUMMYFUNCTION("IMPORTRANGE(""https://docs.google.com/spreadsheets/d/1C3CXT74ZlgGe6_JY_1olB1XN4rF0dxEuIIF-xsYjHgg/edit?usp=sharing"",""พรบ!AH86"")"),28000)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55000000000000004">
      <c r="A93" s="60"/>
      <c r="B93" s="67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55000000000000004">
      <c r="A94" s="60"/>
      <c r="B94" s="67"/>
      <c r="C94" s="67"/>
      <c r="D94" s="68">
        <v>1</v>
      </c>
      <c r="E94" s="69" t="s">
        <v>26</v>
      </c>
      <c r="F94" s="70"/>
      <c r="G94" s="71"/>
      <c r="H94" s="72"/>
      <c r="I94" s="73"/>
      <c r="J94" s="74">
        <v>1</v>
      </c>
      <c r="K94" s="54"/>
      <c r="L94" s="66"/>
      <c r="M94" s="66"/>
      <c r="N94" s="66"/>
    </row>
    <row r="95" spans="1:14" ht="21.75" customHeight="1" x14ac:dyDescent="0.55000000000000004">
      <c r="A95" s="60"/>
      <c r="B95" s="67"/>
      <c r="C95" s="67"/>
      <c r="D95" s="75">
        <v>2</v>
      </c>
      <c r="E95" s="76" t="s">
        <v>27</v>
      </c>
      <c r="F95" s="77"/>
      <c r="G95" s="78"/>
      <c r="H95" s="72"/>
      <c r="I95" s="73"/>
      <c r="J95" s="74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55000000000000004">
      <c r="A96" s="60"/>
      <c r="B96" s="67"/>
      <c r="C96" s="67"/>
      <c r="D96" s="61"/>
      <c r="E96" s="79" t="s">
        <v>28</v>
      </c>
      <c r="F96" s="80"/>
      <c r="G96" s="81"/>
      <c r="H96" s="72"/>
      <c r="I96" s="73"/>
      <c r="J96" s="74">
        <v>0</v>
      </c>
      <c r="K96" s="54"/>
      <c r="L96" s="66"/>
      <c r="M96" s="66"/>
      <c r="N96" s="66"/>
    </row>
    <row r="97" spans="1:14" ht="21.75" customHeight="1" x14ac:dyDescent="0.55000000000000004">
      <c r="A97" s="60"/>
      <c r="B97" s="67"/>
      <c r="C97" s="67"/>
      <c r="D97" s="61"/>
      <c r="E97" s="79" t="s">
        <v>29</v>
      </c>
      <c r="F97" s="80"/>
      <c r="G97" s="81"/>
      <c r="H97" s="72"/>
      <c r="I97" s="73"/>
      <c r="J97" s="74">
        <v>0</v>
      </c>
      <c r="K97" s="54"/>
      <c r="L97" s="66"/>
      <c r="M97" s="66"/>
      <c r="N97" s="66"/>
    </row>
    <row r="98" spans="1:14" ht="21.75" customHeight="1" x14ac:dyDescent="0.55000000000000004">
      <c r="A98" s="60"/>
      <c r="B98" s="67"/>
      <c r="C98" s="67"/>
      <c r="D98" s="61"/>
      <c r="E98" s="82"/>
      <c r="F98" s="79" t="s">
        <v>64</v>
      </c>
      <c r="G98" s="81"/>
      <c r="H98" s="65" t="s">
        <v>63</v>
      </c>
      <c r="I98" s="73">
        <f ca="1">IFERROR(__xludf.DUMMYFUNCTION("IMPORTRANGE(""https://docs.google.com/spreadsheets/d/1C3CXT74ZlgGe6_JY_1olB1XN4rF0dxEuIIF-xsYjHgg/edit?usp=sharing"",""พรบ!AI86"")"),2)</f>
        <v>2</v>
      </c>
      <c r="J98" s="74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IFERROR(__xludf.DUMMYFUNCTION("IMPORTRANGE(""https://docs.google.com/spreadsheets/d/1C3CXT74ZlgGe6_JY_1olB1XN4rF0dxEuIIF-xsYjHgg/edit?usp=sharing"",""กปร!C86"")"),24000)</f>
        <v>24000</v>
      </c>
      <c r="M98" s="383">
        <v>0</v>
      </c>
      <c r="N98" s="58">
        <f ca="1">+IF(L98&gt;0,M98*100/L98,0)</f>
        <v>0</v>
      </c>
    </row>
    <row r="99" spans="1:14" ht="21.75" customHeight="1" x14ac:dyDescent="0.55000000000000004">
      <c r="A99" s="60"/>
      <c r="B99" s="67"/>
      <c r="C99" s="67"/>
      <c r="D99" s="61"/>
      <c r="E99" s="79" t="s">
        <v>35</v>
      </c>
      <c r="F99" s="80"/>
      <c r="G99" s="81"/>
      <c r="H99" s="72"/>
      <c r="I99" s="73"/>
      <c r="J99" s="74">
        <v>0</v>
      </c>
      <c r="K99" s="54"/>
      <c r="L99" s="66"/>
      <c r="M99" s="66"/>
      <c r="N99" s="66"/>
    </row>
    <row r="100" spans="1:14" ht="21.75" customHeight="1" x14ac:dyDescent="0.55000000000000004">
      <c r="A100" s="60"/>
      <c r="B100" s="67"/>
      <c r="C100" s="67"/>
      <c r="D100" s="86">
        <v>3</v>
      </c>
      <c r="E100" s="87" t="s">
        <v>36</v>
      </c>
      <c r="F100" s="88"/>
      <c r="G100" s="89"/>
      <c r="H100" s="72"/>
      <c r="I100" s="73"/>
      <c r="J100" s="90">
        <v>0</v>
      </c>
      <c r="K100" s="54"/>
      <c r="L100" s="66"/>
      <c r="M100" s="66"/>
      <c r="N100" s="66"/>
    </row>
    <row r="101" spans="1:14" ht="21.75" customHeight="1" x14ac:dyDescent="0.55000000000000004">
      <c r="A101" s="152"/>
      <c r="B101" s="381"/>
      <c r="C101" s="154" t="s">
        <v>65</v>
      </c>
      <c r="D101" s="154"/>
      <c r="E101" s="154"/>
      <c r="F101" s="154"/>
      <c r="G101" s="155"/>
      <c r="H101" s="160" t="s">
        <v>63</v>
      </c>
      <c r="I101" s="161">
        <f t="shared" ref="I101:J101" ca="1" si="24">I111</f>
        <v>0</v>
      </c>
      <c r="J101" s="161">
        <f t="shared" si="24"/>
        <v>0</v>
      </c>
      <c r="K101" s="162">
        <f ca="1">IF(I101&gt;0,J101*100/I101,0)</f>
        <v>0</v>
      </c>
      <c r="L101" s="159">
        <f ca="1">L102+L103</f>
        <v>0</v>
      </c>
      <c r="M101" s="159">
        <f>SUM(M102:M103)</f>
        <v>0</v>
      </c>
      <c r="N101" s="159">
        <f t="shared" ref="N101:N104" ca="1" si="25">+IF(L101&gt;0,M101*100/L101,0)</f>
        <v>0</v>
      </c>
    </row>
    <row r="102" spans="1:14" ht="21.75" customHeight="1" x14ac:dyDescent="0.55000000000000004">
      <c r="A102" s="46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3" t="s">
        <v>21</v>
      </c>
      <c r="J102" s="73"/>
      <c r="K102" s="250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55000000000000004">
      <c r="A103" s="46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3"/>
      <c r="J103" s="73"/>
      <c r="K103" s="250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55000000000000004">
      <c r="A104" s="46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3"/>
      <c r="J104" s="73"/>
      <c r="K104" s="250"/>
      <c r="L104" s="58">
        <f ca="1">IFERROR(__xludf.DUMMYFUNCTION("IMPORTRANGE(""https://docs.google.com/spreadsheets/d/1C3CXT74ZlgGe6_JY_1olB1XN4rF0dxEuIIF-xsYjHgg/edit?usp=sharing"",""พรบ!AJ86"")"),0)</f>
        <v>0</v>
      </c>
      <c r="M104" s="58">
        <v>0</v>
      </c>
      <c r="N104" s="58">
        <f t="shared" ca="1" si="25"/>
        <v>0</v>
      </c>
    </row>
    <row r="105" spans="1:14" ht="21.75" customHeight="1" x14ac:dyDescent="0.55000000000000004">
      <c r="A105" s="60"/>
      <c r="B105" s="67"/>
      <c r="C105" s="48" t="s">
        <v>17</v>
      </c>
      <c r="D105" s="62" t="s">
        <v>25</v>
      </c>
      <c r="E105" s="63"/>
      <c r="F105" s="63"/>
      <c r="G105" s="64"/>
      <c r="H105" s="65"/>
      <c r="I105" s="73"/>
      <c r="J105" s="73"/>
      <c r="K105" s="250"/>
      <c r="L105" s="58"/>
      <c r="M105" s="58"/>
      <c r="N105" s="58"/>
    </row>
    <row r="106" spans="1:14" ht="21.75" customHeight="1" x14ac:dyDescent="0.55000000000000004">
      <c r="A106" s="60"/>
      <c r="B106" s="67"/>
      <c r="C106" s="67"/>
      <c r="D106" s="68">
        <v>1</v>
      </c>
      <c r="E106" s="69" t="s">
        <v>26</v>
      </c>
      <c r="F106" s="70"/>
      <c r="G106" s="71"/>
      <c r="H106" s="72"/>
      <c r="I106" s="73"/>
      <c r="J106" s="73">
        <v>0</v>
      </c>
      <c r="K106" s="250"/>
      <c r="L106" s="58"/>
      <c r="M106" s="58"/>
      <c r="N106" s="58"/>
    </row>
    <row r="107" spans="1:14" ht="21.75" customHeight="1" x14ac:dyDescent="0.55000000000000004">
      <c r="A107" s="60"/>
      <c r="B107" s="67"/>
      <c r="C107" s="67"/>
      <c r="D107" s="75">
        <v>2</v>
      </c>
      <c r="E107" s="76" t="s">
        <v>27</v>
      </c>
      <c r="F107" s="77"/>
      <c r="G107" s="78"/>
      <c r="H107" s="72"/>
      <c r="I107" s="73"/>
      <c r="J107" s="73">
        <v>0</v>
      </c>
      <c r="K107" s="250"/>
      <c r="L107" s="58" t="s">
        <v>21</v>
      </c>
      <c r="M107" s="58" t="s">
        <v>21</v>
      </c>
      <c r="N107" s="58"/>
    </row>
    <row r="108" spans="1:14" ht="21.75" customHeight="1" x14ac:dyDescent="0.55000000000000004">
      <c r="A108" s="60"/>
      <c r="B108" s="67"/>
      <c r="C108" s="67"/>
      <c r="D108" s="61"/>
      <c r="E108" s="79" t="s">
        <v>28</v>
      </c>
      <c r="F108" s="80"/>
      <c r="G108" s="81"/>
      <c r="H108" s="72"/>
      <c r="I108" s="73"/>
      <c r="J108" s="73">
        <v>0</v>
      </c>
      <c r="K108" s="250"/>
      <c r="L108" s="58"/>
      <c r="M108" s="58"/>
      <c r="N108" s="58"/>
    </row>
    <row r="109" spans="1:14" ht="21.75" customHeight="1" x14ac:dyDescent="0.55000000000000004">
      <c r="A109" s="60"/>
      <c r="B109" s="67"/>
      <c r="C109" s="67"/>
      <c r="D109" s="61"/>
      <c r="E109" s="79" t="s">
        <v>29</v>
      </c>
      <c r="F109" s="80"/>
      <c r="G109" s="81"/>
      <c r="H109" s="72"/>
      <c r="I109" s="73"/>
      <c r="J109" s="73">
        <v>0</v>
      </c>
      <c r="K109" s="250"/>
      <c r="L109" s="58"/>
      <c r="M109" s="58"/>
      <c r="N109" s="58"/>
    </row>
    <row r="110" spans="1:14" ht="21.75" customHeight="1" x14ac:dyDescent="0.55000000000000004">
      <c r="A110" s="60"/>
      <c r="B110" s="67"/>
      <c r="C110" s="67"/>
      <c r="D110" s="61"/>
      <c r="E110" s="82"/>
      <c r="F110" s="79" t="s">
        <v>66</v>
      </c>
      <c r="G110" s="81"/>
      <c r="H110" s="65" t="s">
        <v>63</v>
      </c>
      <c r="I110" s="73">
        <f ca="1">IFERROR(__xludf.DUMMYFUNCTION("IMPORTRANGE(""https://docs.google.com/spreadsheets/d/1C3CXT74ZlgGe6_JY_1olB1XN4rF0dxEuIIF-xsYjHgg/edit?usp=sharing"",""พรบ!AK86"")"),0)</f>
        <v>0</v>
      </c>
      <c r="J110" s="73">
        <v>0</v>
      </c>
      <c r="K110" s="250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IFERROR(__xludf.DUMMYFUNCTION("IMPORTRANGE(""https://docs.google.com/spreadsheets/d/1C3CXT74ZlgGe6_JY_1olB1XN4rF0dxEuIIF-xsYjHgg/edit?usp=sharing"",""กปร!D86"")"),0)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55000000000000004">
      <c r="A111" s="60"/>
      <c r="B111" s="67"/>
      <c r="C111" s="67"/>
      <c r="D111" s="61"/>
      <c r="E111" s="82"/>
      <c r="F111" s="79" t="s">
        <v>67</v>
      </c>
      <c r="G111" s="81"/>
      <c r="H111" s="65" t="s">
        <v>63</v>
      </c>
      <c r="I111" s="73">
        <f ca="1">IFERROR(__xludf.DUMMYFUNCTION("IMPORTRANGE(""https://docs.google.com/spreadsheets/d/1C3CXT74ZlgGe6_JY_1olB1XN4rF0dxEuIIF-xsYjHgg/edit?usp=sharing"",""พรบ!AL86"")"),0)</f>
        <v>0</v>
      </c>
      <c r="J111" s="73">
        <v>0</v>
      </c>
      <c r="K111" s="250">
        <f t="shared" ca="1" si="26"/>
        <v>0</v>
      </c>
      <c r="L111" s="58">
        <f ca="1">IFERROR(__xludf.DUMMYFUNCTION("IMPORTRANGE(""https://docs.google.com/spreadsheets/d/1C3CXT74ZlgGe6_JY_1olB1XN4rF0dxEuIIF-xsYjHgg/edit?usp=sharing"",""กปร!E86"")"),0)</f>
        <v>0</v>
      </c>
      <c r="M111" s="58">
        <v>0</v>
      </c>
      <c r="N111" s="58">
        <f t="shared" ca="1" si="27"/>
        <v>0</v>
      </c>
    </row>
    <row r="112" spans="1:14" ht="21.75" customHeight="1" x14ac:dyDescent="0.55000000000000004">
      <c r="A112" s="60"/>
      <c r="B112" s="67"/>
      <c r="C112" s="67"/>
      <c r="D112" s="61"/>
      <c r="E112" s="79" t="s">
        <v>35</v>
      </c>
      <c r="F112" s="80"/>
      <c r="G112" s="81"/>
      <c r="H112" s="72"/>
      <c r="I112" s="73"/>
      <c r="J112" s="73">
        <v>0</v>
      </c>
      <c r="K112" s="250"/>
      <c r="L112" s="58"/>
      <c r="M112" s="58"/>
      <c r="N112" s="58"/>
    </row>
    <row r="113" spans="1:14" ht="21.75" customHeight="1" x14ac:dyDescent="0.55000000000000004">
      <c r="A113" s="60"/>
      <c r="B113" s="67"/>
      <c r="C113" s="67"/>
      <c r="D113" s="86">
        <v>3</v>
      </c>
      <c r="E113" s="87" t="s">
        <v>36</v>
      </c>
      <c r="F113" s="88"/>
      <c r="G113" s="89"/>
      <c r="H113" s="72"/>
      <c r="I113" s="73"/>
      <c r="J113" s="380">
        <v>0</v>
      </c>
      <c r="K113" s="250"/>
      <c r="L113" s="58"/>
      <c r="M113" s="58"/>
      <c r="N113" s="58"/>
    </row>
    <row r="114" spans="1:14" ht="21.75" customHeight="1" x14ac:dyDescent="0.55000000000000004">
      <c r="A114" s="152"/>
      <c r="B114" s="381"/>
      <c r="C114" s="154" t="s">
        <v>68</v>
      </c>
      <c r="D114" s="154"/>
      <c r="E114" s="154"/>
      <c r="F114" s="154"/>
      <c r="G114" s="155"/>
      <c r="H114" s="163" t="s">
        <v>69</v>
      </c>
      <c r="I114" s="161">
        <f t="shared" ref="I114:J114" ca="1" si="28">I125</f>
        <v>12800</v>
      </c>
      <c r="J114" s="161">
        <f t="shared" si="28"/>
        <v>0</v>
      </c>
      <c r="K114" s="162">
        <f ca="1">IF(I114&gt;0,J114*100/I114,0)</f>
        <v>0</v>
      </c>
      <c r="L114" s="159">
        <f ca="1">L115+L116</f>
        <v>23100</v>
      </c>
      <c r="M114" s="159">
        <f>SUM(M115:M116)</f>
        <v>0</v>
      </c>
      <c r="N114" s="159">
        <f t="shared" ref="N114:N117" ca="1" si="29">+IF(L114&gt;0,M114*100/L114,0)</f>
        <v>0</v>
      </c>
    </row>
    <row r="115" spans="1:14" ht="21.75" customHeight="1" x14ac:dyDescent="0.55000000000000004">
      <c r="A115" s="46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55000000000000004">
      <c r="A116" s="46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23100</v>
      </c>
      <c r="M116" s="55">
        <f>M117</f>
        <v>0</v>
      </c>
      <c r="N116" s="55">
        <f t="shared" ca="1" si="29"/>
        <v>0</v>
      </c>
    </row>
    <row r="117" spans="1:14" ht="21.75" customHeight="1" x14ac:dyDescent="0.55000000000000004">
      <c r="A117" s="46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IFERROR(__xludf.DUMMYFUNCTION("IMPORTRANGE(""https://docs.google.com/spreadsheets/d/1C3CXT74ZlgGe6_JY_1olB1XN4rF0dxEuIIF-xsYjHgg/edit?usp=sharing"",""พรบ!AM86"")"),23100)</f>
        <v>23100</v>
      </c>
      <c r="M117" s="59">
        <v>0</v>
      </c>
      <c r="N117" s="58">
        <f t="shared" ca="1" si="29"/>
        <v>0</v>
      </c>
    </row>
    <row r="118" spans="1:14" ht="21.75" customHeight="1" x14ac:dyDescent="0.55000000000000004">
      <c r="A118" s="60"/>
      <c r="B118" s="67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55000000000000004">
      <c r="A119" s="60"/>
      <c r="B119" s="67"/>
      <c r="C119" s="67"/>
      <c r="D119" s="68">
        <v>1</v>
      </c>
      <c r="E119" s="69" t="s">
        <v>26</v>
      </c>
      <c r="F119" s="70"/>
      <c r="G119" s="71"/>
      <c r="H119" s="72"/>
      <c r="I119" s="73"/>
      <c r="J119" s="74">
        <v>0</v>
      </c>
      <c r="K119" s="54"/>
      <c r="L119" s="66"/>
      <c r="M119" s="66"/>
      <c r="N119" s="66"/>
    </row>
    <row r="120" spans="1:14" ht="21.75" customHeight="1" x14ac:dyDescent="0.55000000000000004">
      <c r="A120" s="60"/>
      <c r="B120" s="67"/>
      <c r="C120" s="67"/>
      <c r="D120" s="75">
        <v>2</v>
      </c>
      <c r="E120" s="76" t="s">
        <v>27</v>
      </c>
      <c r="F120" s="77"/>
      <c r="G120" s="78"/>
      <c r="H120" s="72"/>
      <c r="I120" s="73"/>
      <c r="J120" s="74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55000000000000004">
      <c r="A121" s="60"/>
      <c r="B121" s="67"/>
      <c r="C121" s="67"/>
      <c r="D121" s="61"/>
      <c r="E121" s="79" t="s">
        <v>28</v>
      </c>
      <c r="F121" s="80"/>
      <c r="G121" s="81"/>
      <c r="H121" s="72"/>
      <c r="I121" s="73"/>
      <c r="J121" s="74">
        <v>0</v>
      </c>
      <c r="K121" s="54"/>
      <c r="L121" s="66"/>
      <c r="M121" s="66"/>
      <c r="N121" s="66"/>
    </row>
    <row r="122" spans="1:14" ht="21.75" customHeight="1" x14ac:dyDescent="0.55000000000000004">
      <c r="A122" s="60"/>
      <c r="B122" s="67"/>
      <c r="C122" s="67"/>
      <c r="D122" s="61"/>
      <c r="E122" s="79" t="s">
        <v>29</v>
      </c>
      <c r="F122" s="80"/>
      <c r="G122" s="81"/>
      <c r="H122" s="72"/>
      <c r="I122" s="73"/>
      <c r="J122" s="74">
        <v>1</v>
      </c>
      <c r="K122" s="54"/>
      <c r="L122" s="66"/>
      <c r="M122" s="66"/>
      <c r="N122" s="66"/>
    </row>
    <row r="123" spans="1:14" ht="21.75" customHeight="1" x14ac:dyDescent="0.55000000000000004">
      <c r="A123" s="60"/>
      <c r="B123" s="67"/>
      <c r="C123" s="67"/>
      <c r="D123" s="61"/>
      <c r="E123" s="80"/>
      <c r="F123" s="80" t="s">
        <v>70</v>
      </c>
      <c r="G123" s="81"/>
      <c r="H123" s="65"/>
      <c r="I123" s="73"/>
      <c r="J123" s="73"/>
      <c r="K123" s="54"/>
      <c r="L123" s="66"/>
      <c r="M123" s="66"/>
      <c r="N123" s="66"/>
    </row>
    <row r="124" spans="1:14" ht="21.75" customHeight="1" x14ac:dyDescent="0.55000000000000004">
      <c r="A124" s="60"/>
      <c r="B124" s="67"/>
      <c r="C124" s="67"/>
      <c r="D124" s="61"/>
      <c r="E124" s="82"/>
      <c r="F124" s="80"/>
      <c r="G124" s="79" t="s">
        <v>71</v>
      </c>
      <c r="H124" s="65" t="s">
        <v>69</v>
      </c>
      <c r="I124" s="73">
        <f ca="1">IFERROR(__xludf.DUMMYFUNCTION("IMPORTRANGE(""https://docs.google.com/spreadsheets/d/1C3CXT74ZlgGe6_JY_1olB1XN4rF0dxEuIIF-xsYjHgg/edit?usp=sharing"",""พรบ!AO86"")"),12800)</f>
        <v>12800</v>
      </c>
      <c r="J124" s="74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55000000000000004">
      <c r="A125" s="60"/>
      <c r="B125" s="67"/>
      <c r="C125" s="67"/>
      <c r="D125" s="61"/>
      <c r="E125" s="82"/>
      <c r="F125" s="80"/>
      <c r="G125" s="79" t="s">
        <v>72</v>
      </c>
      <c r="H125" s="65" t="s">
        <v>69</v>
      </c>
      <c r="I125" s="73">
        <f ca="1">IFERROR(__xludf.DUMMYFUNCTION("IMPORTRANGE(""https://docs.google.com/spreadsheets/d/1C3CXT74ZlgGe6_JY_1olB1XN4rF0dxEuIIF-xsYjHgg/edit?usp=sharing"",""พรบ!AP86"")"),12800)</f>
        <v>12800</v>
      </c>
      <c r="J125" s="74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IFERROR(__xludf.DUMMYFUNCTION("IMPORTRANGE(""https://docs.google.com/spreadsheets/d/1C3CXT74ZlgGe6_JY_1olB1XN4rF0dxEuIIF-xsYjHgg/edit?usp=sharing"",""กปร!F86"")"),4100)</f>
        <v>4100</v>
      </c>
      <c r="M125" s="383">
        <v>0</v>
      </c>
      <c r="N125" s="58">
        <f t="shared" ref="N125:N126" ca="1" si="31">+IF(L125&gt;0,M125*100/L125,0)</f>
        <v>0</v>
      </c>
    </row>
    <row r="126" spans="1:14" ht="21.75" customHeight="1" x14ac:dyDescent="0.55000000000000004">
      <c r="A126" s="60"/>
      <c r="B126" s="67"/>
      <c r="C126" s="67"/>
      <c r="D126" s="61"/>
      <c r="E126" s="82"/>
      <c r="F126" s="80" t="s">
        <v>73</v>
      </c>
      <c r="G126" s="81"/>
      <c r="H126" s="65" t="s">
        <v>16</v>
      </c>
      <c r="I126" s="73">
        <f ca="1">IFERROR(__xludf.DUMMYFUNCTION("IMPORTRANGE(""https://docs.google.com/spreadsheets/d/1C3CXT74ZlgGe6_JY_1olB1XN4rF0dxEuIIF-xsYjHgg/edit?usp=sharing"",""พรบ!AQ86"")"),15)</f>
        <v>15</v>
      </c>
      <c r="J126" s="74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IFERROR(__xludf.DUMMYFUNCTION("IMPORTRANGE(""https://docs.google.com/spreadsheets/d/1C3CXT74ZlgGe6_JY_1olB1XN4rF0dxEuIIF-xsYjHgg/edit?usp=sharing"",""กปร!G86"")"),15000)</f>
        <v>15000</v>
      </c>
      <c r="M126" s="383">
        <v>0</v>
      </c>
      <c r="N126" s="58">
        <f t="shared" ca="1" si="31"/>
        <v>0</v>
      </c>
    </row>
    <row r="127" spans="1:14" ht="21.75" customHeight="1" x14ac:dyDescent="0.55000000000000004">
      <c r="A127" s="60"/>
      <c r="B127" s="67"/>
      <c r="C127" s="67"/>
      <c r="D127" s="61"/>
      <c r="E127" s="79" t="s">
        <v>35</v>
      </c>
      <c r="F127" s="80"/>
      <c r="G127" s="81"/>
      <c r="H127" s="72"/>
      <c r="I127" s="73"/>
      <c r="J127" s="74">
        <v>0</v>
      </c>
      <c r="K127" s="54"/>
      <c r="L127" s="66"/>
      <c r="M127" s="66"/>
      <c r="N127" s="66"/>
    </row>
    <row r="128" spans="1:14" ht="21.75" customHeight="1" x14ac:dyDescent="0.55000000000000004">
      <c r="A128" s="112"/>
      <c r="B128" s="114"/>
      <c r="C128" s="114"/>
      <c r="D128" s="115">
        <v>3</v>
      </c>
      <c r="E128" s="116" t="s">
        <v>36</v>
      </c>
      <c r="F128" s="117"/>
      <c r="G128" s="118"/>
      <c r="H128" s="119"/>
      <c r="I128" s="120"/>
      <c r="J128" s="121">
        <v>0</v>
      </c>
      <c r="K128" s="122"/>
      <c r="L128" s="123"/>
      <c r="M128" s="123"/>
      <c r="N128" s="123"/>
    </row>
    <row r="129" spans="1:14" ht="21.75" customHeight="1" x14ac:dyDescent="0.55000000000000004">
      <c r="A129" s="152"/>
      <c r="B129" s="381"/>
      <c r="C129" s="153" t="s">
        <v>74</v>
      </c>
      <c r="D129" s="154"/>
      <c r="E129" s="154"/>
      <c r="F129" s="154"/>
      <c r="G129" s="155"/>
      <c r="H129" s="163" t="s">
        <v>16</v>
      </c>
      <c r="I129" s="161">
        <f t="shared" ref="I129:J129" ca="1" si="32">I138</f>
        <v>0</v>
      </c>
      <c r="J129" s="161">
        <f t="shared" si="32"/>
        <v>0</v>
      </c>
      <c r="K129" s="162">
        <f ca="1">IF(I129&gt;0,J129*100/I129,0)</f>
        <v>0</v>
      </c>
      <c r="L129" s="159">
        <f ca="1">L130+L131</f>
        <v>0</v>
      </c>
      <c r="M129" s="159">
        <f>SUM(M130:M131)</f>
        <v>0</v>
      </c>
      <c r="N129" s="159">
        <f t="shared" ref="N129:N132" ca="1" si="33">+IF(L129&gt;0,M129*100/L129,0)</f>
        <v>0</v>
      </c>
    </row>
    <row r="130" spans="1:14" ht="21.75" customHeight="1" x14ac:dyDescent="0.55000000000000004">
      <c r="A130" s="46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3" t="s">
        <v>21</v>
      </c>
      <c r="J130" s="73"/>
      <c r="K130" s="250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55000000000000004">
      <c r="A131" s="46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3"/>
      <c r="J131" s="73"/>
      <c r="K131" s="250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55000000000000004">
      <c r="A132" s="46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3"/>
      <c r="J132" s="73"/>
      <c r="K132" s="250"/>
      <c r="L132" s="58">
        <f ca="1">IFERROR(__xludf.DUMMYFUNCTION("IMPORTRANGE(""https://docs.google.com/spreadsheets/d/1C3CXT74ZlgGe6_JY_1olB1XN4rF0dxEuIIF-xsYjHgg/edit?usp=sharing"",""พรบ!AR86"")"),0)</f>
        <v>0</v>
      </c>
      <c r="M132" s="58">
        <v>0</v>
      </c>
      <c r="N132" s="58">
        <f t="shared" ca="1" si="33"/>
        <v>0</v>
      </c>
    </row>
    <row r="133" spans="1:14" ht="21.75" customHeight="1" x14ac:dyDescent="0.55000000000000004">
      <c r="A133" s="60"/>
      <c r="B133" s="67"/>
      <c r="C133" s="48" t="s">
        <v>17</v>
      </c>
      <c r="D133" s="62" t="s">
        <v>25</v>
      </c>
      <c r="E133" s="63"/>
      <c r="F133" s="63"/>
      <c r="G133" s="64"/>
      <c r="H133" s="65"/>
      <c r="I133" s="73"/>
      <c r="J133" s="73"/>
      <c r="K133" s="250"/>
      <c r="L133" s="58"/>
      <c r="M133" s="58"/>
      <c r="N133" s="58"/>
    </row>
    <row r="134" spans="1:14" ht="21.75" customHeight="1" x14ac:dyDescent="0.55000000000000004">
      <c r="A134" s="60"/>
      <c r="B134" s="67"/>
      <c r="C134" s="67"/>
      <c r="D134" s="68">
        <v>1</v>
      </c>
      <c r="E134" s="69" t="s">
        <v>26</v>
      </c>
      <c r="F134" s="70"/>
      <c r="G134" s="71"/>
      <c r="H134" s="72"/>
      <c r="I134" s="73"/>
      <c r="J134" s="73">
        <v>0</v>
      </c>
      <c r="K134" s="250"/>
      <c r="L134" s="58"/>
      <c r="M134" s="58"/>
      <c r="N134" s="58"/>
    </row>
    <row r="135" spans="1:14" ht="21.75" customHeight="1" x14ac:dyDescent="0.55000000000000004">
      <c r="A135" s="60"/>
      <c r="B135" s="67"/>
      <c r="C135" s="67"/>
      <c r="D135" s="75">
        <v>2</v>
      </c>
      <c r="E135" s="76" t="s">
        <v>27</v>
      </c>
      <c r="F135" s="77"/>
      <c r="G135" s="78"/>
      <c r="H135" s="72"/>
      <c r="I135" s="73"/>
      <c r="J135" s="73">
        <v>0</v>
      </c>
      <c r="K135" s="250"/>
      <c r="L135" s="58" t="s">
        <v>21</v>
      </c>
      <c r="M135" s="58" t="s">
        <v>21</v>
      </c>
      <c r="N135" s="58"/>
    </row>
    <row r="136" spans="1:14" ht="21.75" customHeight="1" x14ac:dyDescent="0.55000000000000004">
      <c r="A136" s="60"/>
      <c r="B136" s="67"/>
      <c r="C136" s="67"/>
      <c r="D136" s="61"/>
      <c r="E136" s="79" t="s">
        <v>28</v>
      </c>
      <c r="F136" s="80"/>
      <c r="G136" s="81"/>
      <c r="H136" s="72"/>
      <c r="I136" s="73"/>
      <c r="J136" s="73">
        <v>0</v>
      </c>
      <c r="K136" s="250"/>
      <c r="L136" s="58"/>
      <c r="M136" s="58"/>
      <c r="N136" s="58"/>
    </row>
    <row r="137" spans="1:14" ht="21.75" customHeight="1" x14ac:dyDescent="0.55000000000000004">
      <c r="A137" s="60"/>
      <c r="B137" s="67"/>
      <c r="C137" s="67"/>
      <c r="D137" s="61"/>
      <c r="E137" s="79" t="s">
        <v>29</v>
      </c>
      <c r="F137" s="80"/>
      <c r="G137" s="81"/>
      <c r="H137" s="72"/>
      <c r="I137" s="73"/>
      <c r="J137" s="73">
        <v>0</v>
      </c>
      <c r="K137" s="250"/>
      <c r="L137" s="58"/>
      <c r="M137" s="58"/>
      <c r="N137" s="58"/>
    </row>
    <row r="138" spans="1:14" ht="21.75" customHeight="1" x14ac:dyDescent="0.55000000000000004">
      <c r="A138" s="60"/>
      <c r="B138" s="67"/>
      <c r="C138" s="67"/>
      <c r="D138" s="61"/>
      <c r="E138" s="82"/>
      <c r="F138" s="80" t="s">
        <v>75</v>
      </c>
      <c r="G138" s="81"/>
      <c r="H138" s="65" t="s">
        <v>16</v>
      </c>
      <c r="I138" s="73">
        <f ca="1">IFERROR(__xludf.DUMMYFUNCTION("IMPORTRANGE(""https://docs.google.com/spreadsheets/d/1C3CXT74ZlgGe6_JY_1olB1XN4rF0dxEuIIF-xsYjHgg/edit?usp=sharing"",""พรบ!AS86"")"),0)</f>
        <v>0</v>
      </c>
      <c r="J138" s="73">
        <v>0</v>
      </c>
      <c r="K138" s="250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IFERROR(__xludf.DUMMYFUNCTION("IMPORTRANGE(""https://docs.google.com/spreadsheets/d/1C3CXT74ZlgGe6_JY_1olB1XN4rF0dxEuIIF-xsYjHgg/edit?usp=sharing"",""กปร!H86"")"),0)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55000000000000004">
      <c r="A139" s="60"/>
      <c r="B139" s="67"/>
      <c r="C139" s="67"/>
      <c r="D139" s="61"/>
      <c r="E139" s="82"/>
      <c r="F139" s="79" t="s">
        <v>34</v>
      </c>
      <c r="G139" s="81"/>
      <c r="H139" s="65"/>
      <c r="I139" s="73"/>
      <c r="J139" s="73"/>
      <c r="K139" s="250"/>
      <c r="L139" s="58"/>
      <c r="M139" s="58"/>
      <c r="N139" s="58"/>
    </row>
    <row r="140" spans="1:14" ht="21.75" customHeight="1" x14ac:dyDescent="0.55000000000000004">
      <c r="A140" s="60"/>
      <c r="B140" s="67"/>
      <c r="C140" s="67"/>
      <c r="D140" s="61"/>
      <c r="E140" s="82"/>
      <c r="F140" s="80"/>
      <c r="G140" s="105" t="s">
        <v>76</v>
      </c>
      <c r="H140" s="65" t="s">
        <v>16</v>
      </c>
      <c r="I140" s="73">
        <f ca="1">IFERROR(__xludf.DUMMYFUNCTION("IMPORTRANGE(""https://docs.google.com/spreadsheets/d/1C3CXT74ZlgGe6_JY_1olB1XN4rF0dxEuIIF-xsYjHgg/edit?usp=sharing"",""พรบ!AT86"")"),0)</f>
        <v>0</v>
      </c>
      <c r="J140" s="73">
        <v>0</v>
      </c>
      <c r="K140" s="250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IFERROR(__xludf.DUMMYFUNCTION("IMPORTRANGE(""https://docs.google.com/spreadsheets/d/1C3CXT74ZlgGe6_JY_1olB1XN4rF0dxEuIIF-xsYjHgg/edit?usp=sharing"",""กปร!I86"")"),0)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55000000000000004">
      <c r="A141" s="60"/>
      <c r="B141" s="67"/>
      <c r="C141" s="67"/>
      <c r="D141" s="61"/>
      <c r="E141" s="82"/>
      <c r="F141" s="80"/>
      <c r="G141" s="105" t="s">
        <v>77</v>
      </c>
      <c r="H141" s="65" t="s">
        <v>40</v>
      </c>
      <c r="I141" s="73">
        <f ca="1">IFERROR(__xludf.DUMMYFUNCTION("IMPORTRANGE(""https://docs.google.com/spreadsheets/d/1C3CXT74ZlgGe6_JY_1olB1XN4rF0dxEuIIF-xsYjHgg/edit?usp=sharing"",""พรบ!AU86"")"),0)</f>
        <v>0</v>
      </c>
      <c r="J141" s="73">
        <v>0</v>
      </c>
      <c r="K141" s="250">
        <f t="shared" ca="1" si="34"/>
        <v>0</v>
      </c>
      <c r="L141" s="58">
        <f ca="1">IFERROR(__xludf.DUMMYFUNCTION("IMPORTRANGE(""https://docs.google.com/spreadsheets/d/1C3CXT74ZlgGe6_JY_1olB1XN4rF0dxEuIIF-xsYjHgg/edit?usp=sharing"",""กปร!J86"")"),0)</f>
        <v>0</v>
      </c>
      <c r="M141" s="58">
        <v>0</v>
      </c>
      <c r="N141" s="58">
        <f t="shared" ca="1" si="35"/>
        <v>0</v>
      </c>
    </row>
    <row r="142" spans="1:14" ht="21.75" customHeight="1" x14ac:dyDescent="0.55000000000000004">
      <c r="A142" s="60"/>
      <c r="B142" s="67"/>
      <c r="C142" s="67"/>
      <c r="D142" s="61"/>
      <c r="E142" s="79" t="s">
        <v>35</v>
      </c>
      <c r="F142" s="80"/>
      <c r="G142" s="81"/>
      <c r="H142" s="72"/>
      <c r="I142" s="73"/>
      <c r="J142" s="73">
        <v>0</v>
      </c>
      <c r="K142" s="250"/>
      <c r="L142" s="58"/>
      <c r="M142" s="58"/>
      <c r="N142" s="58"/>
    </row>
    <row r="143" spans="1:14" ht="21.75" customHeight="1" x14ac:dyDescent="0.55000000000000004">
      <c r="A143" s="112"/>
      <c r="B143" s="114"/>
      <c r="C143" s="114"/>
      <c r="D143" s="115">
        <v>3</v>
      </c>
      <c r="E143" s="116" t="s">
        <v>36</v>
      </c>
      <c r="F143" s="117"/>
      <c r="G143" s="118"/>
      <c r="H143" s="119"/>
      <c r="I143" s="120"/>
      <c r="J143" s="384">
        <v>0</v>
      </c>
      <c r="K143" s="385"/>
      <c r="L143" s="386"/>
      <c r="M143" s="386"/>
      <c r="N143" s="386"/>
    </row>
    <row r="144" spans="1:14" ht="21.75" customHeight="1" x14ac:dyDescent="0.55000000000000004">
      <c r="A144" s="142"/>
      <c r="B144" s="145" t="s">
        <v>78</v>
      </c>
      <c r="C144" s="144"/>
      <c r="D144" s="145"/>
      <c r="E144" s="145"/>
      <c r="F144" s="145"/>
      <c r="G144" s="146"/>
      <c r="H144" s="147" t="s">
        <v>16</v>
      </c>
      <c r="I144" s="148">
        <f t="shared" ref="I144:J144" ca="1" si="36">+I149+I158</f>
        <v>15</v>
      </c>
      <c r="J144" s="148">
        <f t="shared" si="36"/>
        <v>15</v>
      </c>
      <c r="K144" s="149">
        <f ca="1">IF(I144&gt;0,J144*100/I144,0)</f>
        <v>100</v>
      </c>
      <c r="L144" s="150">
        <f ca="1">L145+L146</f>
        <v>21125</v>
      </c>
      <c r="M144" s="150">
        <f>SUM(M145:M146)</f>
        <v>15725</v>
      </c>
      <c r="N144" s="149">
        <f ca="1">IF(L144&gt;0,M144*100/L144,0)</f>
        <v>74.437869822485212</v>
      </c>
    </row>
    <row r="145" spans="1:14" ht="21.75" customHeight="1" x14ac:dyDescent="0.55000000000000004">
      <c r="A145" s="46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55000000000000004">
      <c r="A146" s="46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15725</v>
      </c>
      <c r="N146" s="55">
        <f t="shared" ca="1" si="37"/>
        <v>74.437869822485212</v>
      </c>
    </row>
    <row r="147" spans="1:14" ht="21.75" customHeight="1" x14ac:dyDescent="0.55000000000000004">
      <c r="A147" s="46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55000000000000004">
      <c r="A148" s="46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IFERROR(__xludf.DUMMYFUNCTION("IMPORTRANGE(""https://docs.google.com/spreadsheets/d/1C3CXT74ZlgGe6_JY_1olB1XN4rF0dxEuIIF-xsYjHgg/edit?usp=sharing"",""พรบ!AY86"")"),21125)</f>
        <v>21125</v>
      </c>
      <c r="M148" s="59">
        <v>15725</v>
      </c>
      <c r="N148" s="58">
        <f t="shared" ca="1" si="37"/>
        <v>74.437869822485212</v>
      </c>
    </row>
    <row r="149" spans="1:14" ht="21.75" customHeight="1" x14ac:dyDescent="0.55000000000000004">
      <c r="A149" s="60"/>
      <c r="B149" s="286"/>
      <c r="C149" s="144" t="s">
        <v>79</v>
      </c>
      <c r="D149" s="145"/>
      <c r="E149" s="145"/>
      <c r="F149" s="145"/>
      <c r="G149" s="146"/>
      <c r="H149" s="147" t="s">
        <v>16</v>
      </c>
      <c r="I149" s="148">
        <f ca="1">I155</f>
        <v>15</v>
      </c>
      <c r="J149" s="148">
        <f>+J155</f>
        <v>15</v>
      </c>
      <c r="K149" s="149">
        <f ca="1">IF(I149&gt;0,J149*100/I149,0)</f>
        <v>100</v>
      </c>
      <c r="L149" s="151"/>
      <c r="M149" s="151"/>
      <c r="N149" s="151"/>
    </row>
    <row r="150" spans="1:14" ht="21.75" customHeight="1" x14ac:dyDescent="0.55000000000000004">
      <c r="A150" s="60"/>
      <c r="B150" s="67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55000000000000004">
      <c r="A151" s="60"/>
      <c r="B151" s="67"/>
      <c r="C151" s="67"/>
      <c r="D151" s="68">
        <v>1</v>
      </c>
      <c r="E151" s="69" t="s">
        <v>26</v>
      </c>
      <c r="F151" s="70"/>
      <c r="G151" s="71"/>
      <c r="H151" s="72"/>
      <c r="I151" s="73"/>
      <c r="J151" s="74">
        <v>0</v>
      </c>
      <c r="K151" s="54"/>
      <c r="L151" s="66"/>
      <c r="M151" s="66"/>
      <c r="N151" s="66"/>
    </row>
    <row r="152" spans="1:14" ht="21.75" customHeight="1" x14ac:dyDescent="0.55000000000000004">
      <c r="A152" s="60"/>
      <c r="B152" s="67"/>
      <c r="C152" s="67"/>
      <c r="D152" s="75">
        <v>2</v>
      </c>
      <c r="E152" s="76" t="s">
        <v>27</v>
      </c>
      <c r="F152" s="77"/>
      <c r="G152" s="78"/>
      <c r="H152" s="72"/>
      <c r="I152" s="73"/>
      <c r="J152" s="74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55000000000000004">
      <c r="A153" s="60"/>
      <c r="B153" s="67"/>
      <c r="C153" s="67"/>
      <c r="D153" s="61"/>
      <c r="E153" s="79" t="s">
        <v>28</v>
      </c>
      <c r="F153" s="80"/>
      <c r="G153" s="81"/>
      <c r="H153" s="72"/>
      <c r="I153" s="73"/>
      <c r="J153" s="74">
        <v>1</v>
      </c>
      <c r="K153" s="54"/>
      <c r="L153" s="66"/>
      <c r="M153" s="66"/>
      <c r="N153" s="66"/>
    </row>
    <row r="154" spans="1:14" ht="21.75" customHeight="1" x14ac:dyDescent="0.55000000000000004">
      <c r="A154" s="60"/>
      <c r="B154" s="67"/>
      <c r="C154" s="67"/>
      <c r="D154" s="61"/>
      <c r="E154" s="79" t="s">
        <v>29</v>
      </c>
      <c r="F154" s="80"/>
      <c r="G154" s="81"/>
      <c r="H154" s="72"/>
      <c r="I154" s="73"/>
      <c r="J154" s="74">
        <v>1</v>
      </c>
      <c r="K154" s="54"/>
      <c r="L154" s="66"/>
      <c r="M154" s="66"/>
      <c r="N154" s="66"/>
    </row>
    <row r="155" spans="1:14" ht="21.75" customHeight="1" x14ac:dyDescent="0.55000000000000004">
      <c r="A155" s="60"/>
      <c r="B155" s="67"/>
      <c r="C155" s="67"/>
      <c r="D155" s="61"/>
      <c r="E155" s="82"/>
      <c r="F155" s="80"/>
      <c r="G155" s="105" t="s">
        <v>50</v>
      </c>
      <c r="H155" s="72" t="s">
        <v>16</v>
      </c>
      <c r="I155" s="73">
        <f ca="1">IFERROR(__xludf.DUMMYFUNCTION("IMPORTRANGE(""https://docs.google.com/spreadsheets/d/1C3CXT74ZlgGe6_JY_1olB1XN4rF0dxEuIIF-xsYjHgg/edit?usp=sharing"",""พรบ!BA86"")"),15)</f>
        <v>15</v>
      </c>
      <c r="J155" s="74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55000000000000004">
      <c r="A156" s="60"/>
      <c r="B156" s="67"/>
      <c r="C156" s="67"/>
      <c r="D156" s="61"/>
      <c r="E156" s="79" t="s">
        <v>35</v>
      </c>
      <c r="F156" s="80"/>
      <c r="G156" s="81"/>
      <c r="H156" s="72"/>
      <c r="I156" s="73"/>
      <c r="J156" s="74">
        <v>0</v>
      </c>
      <c r="K156" s="54"/>
      <c r="L156" s="66"/>
      <c r="M156" s="66"/>
      <c r="N156" s="66"/>
    </row>
    <row r="157" spans="1:14" ht="21.75" customHeight="1" x14ac:dyDescent="0.55000000000000004">
      <c r="A157" s="60"/>
      <c r="B157" s="67"/>
      <c r="C157" s="67"/>
      <c r="D157" s="86">
        <v>3</v>
      </c>
      <c r="E157" s="87" t="s">
        <v>36</v>
      </c>
      <c r="F157" s="88"/>
      <c r="G157" s="89"/>
      <c r="H157" s="72"/>
      <c r="I157" s="73"/>
      <c r="J157" s="90">
        <v>0</v>
      </c>
      <c r="K157" s="54"/>
      <c r="L157" s="66"/>
      <c r="M157" s="66"/>
      <c r="N157" s="66"/>
    </row>
    <row r="158" spans="1:14" ht="21.75" customHeight="1" x14ac:dyDescent="0.55000000000000004">
      <c r="A158" s="60"/>
      <c r="B158" s="67"/>
      <c r="C158" s="144" t="s">
        <v>81</v>
      </c>
      <c r="D158" s="166"/>
      <c r="E158" s="145"/>
      <c r="F158" s="145"/>
      <c r="G158" s="146"/>
      <c r="H158" s="147" t="s">
        <v>16</v>
      </c>
      <c r="I158" s="148">
        <f>I164</f>
        <v>0</v>
      </c>
      <c r="J158" s="148">
        <f>+J164</f>
        <v>0</v>
      </c>
      <c r="K158" s="149">
        <f>IF(I158&gt;0,J158*100/I158,0)</f>
        <v>0</v>
      </c>
      <c r="L158" s="66"/>
      <c r="M158" s="66"/>
      <c r="N158" s="66"/>
    </row>
    <row r="159" spans="1:14" ht="21.75" customHeight="1" x14ac:dyDescent="0.55000000000000004">
      <c r="A159" s="60"/>
      <c r="B159" s="67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55000000000000004">
      <c r="A160" s="60"/>
      <c r="B160" s="67"/>
      <c r="C160" s="67"/>
      <c r="D160" s="68">
        <v>1</v>
      </c>
      <c r="E160" s="69" t="s">
        <v>26</v>
      </c>
      <c r="F160" s="70"/>
      <c r="G160" s="71"/>
      <c r="H160" s="72"/>
      <c r="I160" s="73"/>
      <c r="J160" s="73">
        <v>0</v>
      </c>
      <c r="K160" s="54"/>
      <c r="L160" s="66"/>
      <c r="M160" s="66"/>
      <c r="N160" s="66"/>
    </row>
    <row r="161" spans="1:14" ht="21.75" customHeight="1" x14ac:dyDescent="0.55000000000000004">
      <c r="A161" s="60"/>
      <c r="B161" s="67"/>
      <c r="C161" s="67"/>
      <c r="D161" s="75">
        <v>2</v>
      </c>
      <c r="E161" s="76" t="s">
        <v>27</v>
      </c>
      <c r="F161" s="77"/>
      <c r="G161" s="78"/>
      <c r="H161" s="72"/>
      <c r="I161" s="73"/>
      <c r="J161" s="73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55000000000000004">
      <c r="A162" s="60"/>
      <c r="B162" s="67"/>
      <c r="C162" s="67"/>
      <c r="D162" s="61"/>
      <c r="E162" s="79" t="s">
        <v>28</v>
      </c>
      <c r="F162" s="80"/>
      <c r="G162" s="81"/>
      <c r="H162" s="72"/>
      <c r="I162" s="73"/>
      <c r="J162" s="73">
        <v>0</v>
      </c>
      <c r="K162" s="54"/>
      <c r="L162" s="66"/>
      <c r="M162" s="66"/>
      <c r="N162" s="66"/>
    </row>
    <row r="163" spans="1:14" ht="21.75" customHeight="1" x14ac:dyDescent="0.55000000000000004">
      <c r="A163" s="60"/>
      <c r="B163" s="67"/>
      <c r="C163" s="67"/>
      <c r="D163" s="61"/>
      <c r="E163" s="79" t="s">
        <v>29</v>
      </c>
      <c r="F163" s="80"/>
      <c r="G163" s="81"/>
      <c r="H163" s="72"/>
      <c r="I163" s="73"/>
      <c r="J163" s="73">
        <v>0</v>
      </c>
      <c r="K163" s="54"/>
      <c r="L163" s="66"/>
      <c r="M163" s="66"/>
      <c r="N163" s="66"/>
    </row>
    <row r="164" spans="1:14" ht="21.75" customHeight="1" x14ac:dyDescent="0.55000000000000004">
      <c r="A164" s="60"/>
      <c r="B164" s="67"/>
      <c r="C164" s="67"/>
      <c r="D164" s="61"/>
      <c r="E164" s="80"/>
      <c r="F164" s="79" t="s">
        <v>82</v>
      </c>
      <c r="G164" s="80"/>
      <c r="H164" s="72" t="s">
        <v>16</v>
      </c>
      <c r="I164" s="73">
        <v>0</v>
      </c>
      <c r="J164" s="73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55000000000000004">
      <c r="A165" s="60"/>
      <c r="B165" s="67"/>
      <c r="C165" s="67"/>
      <c r="D165" s="61"/>
      <c r="E165" s="79" t="s">
        <v>35</v>
      </c>
      <c r="F165" s="80"/>
      <c r="G165" s="81"/>
      <c r="H165" s="72"/>
      <c r="I165" s="73"/>
      <c r="J165" s="73">
        <v>0</v>
      </c>
      <c r="K165" s="54"/>
      <c r="L165" s="66"/>
      <c r="M165" s="66"/>
      <c r="N165" s="66"/>
    </row>
    <row r="166" spans="1:14" ht="21.75" customHeight="1" x14ac:dyDescent="0.55000000000000004">
      <c r="A166" s="112"/>
      <c r="B166" s="114"/>
      <c r="C166" s="114"/>
      <c r="D166" s="115">
        <v>3</v>
      </c>
      <c r="E166" s="116" t="s">
        <v>36</v>
      </c>
      <c r="F166" s="117"/>
      <c r="G166" s="118"/>
      <c r="H166" s="119"/>
      <c r="I166" s="120"/>
      <c r="J166" s="384">
        <v>0</v>
      </c>
      <c r="K166" s="122"/>
      <c r="L166" s="123"/>
      <c r="M166" s="123"/>
      <c r="N166" s="123"/>
    </row>
    <row r="167" spans="1:14" ht="21.75" customHeight="1" x14ac:dyDescent="0.55000000000000004">
      <c r="A167" s="167" t="s">
        <v>83</v>
      </c>
      <c r="B167" s="169"/>
      <c r="C167" s="169"/>
      <c r="D167" s="169"/>
      <c r="E167" s="170"/>
      <c r="F167" s="170"/>
      <c r="G167" s="171"/>
      <c r="H167" s="172"/>
      <c r="I167" s="173"/>
      <c r="J167" s="173"/>
      <c r="K167" s="174"/>
      <c r="L167" s="175"/>
      <c r="M167" s="175"/>
      <c r="N167" s="176"/>
    </row>
    <row r="168" spans="1:14" ht="21.75" customHeight="1" x14ac:dyDescent="0.55000000000000004">
      <c r="A168" s="177" t="s">
        <v>84</v>
      </c>
      <c r="B168" s="179"/>
      <c r="C168" s="179"/>
      <c r="D168" s="180"/>
      <c r="E168" s="180"/>
      <c r="F168" s="180"/>
      <c r="G168" s="181"/>
      <c r="H168" s="182"/>
      <c r="I168" s="183"/>
      <c r="J168" s="183"/>
      <c r="K168" s="184"/>
      <c r="L168" s="184"/>
      <c r="M168" s="184"/>
      <c r="N168" s="185"/>
    </row>
    <row r="169" spans="1:14" ht="21.75" customHeight="1" x14ac:dyDescent="0.55000000000000004">
      <c r="A169" s="186"/>
      <c r="B169" s="188" t="s">
        <v>85</v>
      </c>
      <c r="C169" s="188"/>
      <c r="D169" s="188"/>
      <c r="E169" s="188"/>
      <c r="F169" s="188"/>
      <c r="G169" s="189"/>
      <c r="H169" s="190" t="s">
        <v>16</v>
      </c>
      <c r="I169" s="191">
        <f ca="1">I180</f>
        <v>0</v>
      </c>
      <c r="J169" s="191">
        <f>+J180</f>
        <v>0</v>
      </c>
      <c r="K169" s="192">
        <f ca="1">IF(I169&gt;0,J169*100/I169,0)</f>
        <v>0</v>
      </c>
      <c r="L169" s="193">
        <f ca="1">L170+L171</f>
        <v>0</v>
      </c>
      <c r="M169" s="193">
        <f>SUM(M170:M171)</f>
        <v>0</v>
      </c>
      <c r="N169" s="192">
        <f ca="1">IF(L169&gt;0,M169*100/L169,0)</f>
        <v>0</v>
      </c>
    </row>
    <row r="170" spans="1:14" ht="21.75" customHeight="1" x14ac:dyDescent="0.55000000000000004">
      <c r="A170" s="46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3" t="s">
        <v>21</v>
      </c>
      <c r="J170" s="73"/>
      <c r="K170" s="250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55000000000000004">
      <c r="A171" s="46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3"/>
      <c r="J171" s="73"/>
      <c r="K171" s="250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55000000000000004">
      <c r="A172" s="46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3"/>
      <c r="J172" s="73"/>
      <c r="K172" s="250"/>
      <c r="L172" s="58">
        <f ca="1">IFERROR(__xludf.DUMMYFUNCTION("IMPORTRANGE(""https://docs.google.com/spreadsheets/d/1C3CXT74ZlgGe6_JY_1olB1XN4rF0dxEuIIF-xsYjHgg/edit?usp=sharing"",""พรบ!BD86"")"),0)</f>
        <v>0</v>
      </c>
      <c r="M172" s="58">
        <v>0</v>
      </c>
      <c r="N172" s="58">
        <f t="shared" ca="1" si="39"/>
        <v>0</v>
      </c>
    </row>
    <row r="173" spans="1:14" ht="21.75" customHeight="1" x14ac:dyDescent="0.55000000000000004">
      <c r="A173" s="46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3"/>
      <c r="J173" s="73"/>
      <c r="K173" s="250"/>
      <c r="L173" s="58">
        <f ca="1">IFERROR(__xludf.DUMMYFUNCTION("IMPORTRANGE(""https://docs.google.com/spreadsheets/d/1C3CXT74ZlgGe6_JY_1olB1XN4rF0dxEuIIF-xsYjHgg/edit?usp=sharing"",""พรบ!BE86"")"),0)</f>
        <v>0</v>
      </c>
      <c r="M173" s="58">
        <v>0</v>
      </c>
      <c r="N173" s="58">
        <f t="shared" ca="1" si="39"/>
        <v>0</v>
      </c>
    </row>
    <row r="174" spans="1:14" ht="21.75" customHeight="1" x14ac:dyDescent="0.55000000000000004">
      <c r="A174" s="60"/>
      <c r="B174" s="67"/>
      <c r="C174" s="48" t="s">
        <v>17</v>
      </c>
      <c r="D174" s="62" t="s">
        <v>25</v>
      </c>
      <c r="E174" s="63"/>
      <c r="F174" s="63"/>
      <c r="G174" s="64"/>
      <c r="H174" s="65"/>
      <c r="I174" s="73"/>
      <c r="J174" s="73"/>
      <c r="K174" s="250"/>
      <c r="L174" s="58"/>
      <c r="M174" s="58"/>
      <c r="N174" s="58"/>
    </row>
    <row r="175" spans="1:14" ht="21.75" customHeight="1" x14ac:dyDescent="0.55000000000000004">
      <c r="A175" s="60"/>
      <c r="B175" s="67"/>
      <c r="C175" s="67"/>
      <c r="D175" s="68">
        <v>1</v>
      </c>
      <c r="E175" s="69" t="s">
        <v>26</v>
      </c>
      <c r="F175" s="70"/>
      <c r="G175" s="71"/>
      <c r="H175" s="72"/>
      <c r="I175" s="73"/>
      <c r="J175" s="73">
        <v>0</v>
      </c>
      <c r="K175" s="250"/>
      <c r="L175" s="58"/>
      <c r="M175" s="58"/>
      <c r="N175" s="58"/>
    </row>
    <row r="176" spans="1:14" ht="21.75" customHeight="1" x14ac:dyDescent="0.55000000000000004">
      <c r="A176" s="60"/>
      <c r="B176" s="67"/>
      <c r="C176" s="67"/>
      <c r="D176" s="75">
        <v>2</v>
      </c>
      <c r="E176" s="76" t="s">
        <v>27</v>
      </c>
      <c r="F176" s="77"/>
      <c r="G176" s="78"/>
      <c r="H176" s="72"/>
      <c r="I176" s="73"/>
      <c r="J176" s="73">
        <v>0</v>
      </c>
      <c r="K176" s="250"/>
      <c r="L176" s="58" t="s">
        <v>21</v>
      </c>
      <c r="M176" s="58" t="s">
        <v>21</v>
      </c>
      <c r="N176" s="58"/>
    </row>
    <row r="177" spans="1:14" ht="21.75" customHeight="1" x14ac:dyDescent="0.55000000000000004">
      <c r="A177" s="60"/>
      <c r="B177" s="67"/>
      <c r="C177" s="67"/>
      <c r="D177" s="61"/>
      <c r="E177" s="79" t="s">
        <v>28</v>
      </c>
      <c r="F177" s="80"/>
      <c r="G177" s="81"/>
      <c r="H177" s="72"/>
      <c r="I177" s="73"/>
      <c r="J177" s="73">
        <v>0</v>
      </c>
      <c r="K177" s="250"/>
      <c r="L177" s="58"/>
      <c r="M177" s="58"/>
      <c r="N177" s="58"/>
    </row>
    <row r="178" spans="1:14" ht="21.75" customHeight="1" x14ac:dyDescent="0.55000000000000004">
      <c r="A178" s="60"/>
      <c r="B178" s="67"/>
      <c r="C178" s="67"/>
      <c r="D178" s="61"/>
      <c r="E178" s="79" t="s">
        <v>29</v>
      </c>
      <c r="F178" s="80"/>
      <c r="G178" s="81"/>
      <c r="H178" s="72"/>
      <c r="I178" s="73"/>
      <c r="J178" s="73">
        <v>0</v>
      </c>
      <c r="K178" s="250"/>
      <c r="L178" s="58"/>
      <c r="M178" s="58"/>
      <c r="N178" s="58"/>
    </row>
    <row r="179" spans="1:14" ht="21.75" customHeight="1" x14ac:dyDescent="0.55000000000000004">
      <c r="A179" s="60"/>
      <c r="B179" s="67"/>
      <c r="C179" s="67"/>
      <c r="D179" s="61"/>
      <c r="E179" s="82"/>
      <c r="F179" s="79" t="s">
        <v>86</v>
      </c>
      <c r="G179" s="81"/>
      <c r="H179" s="65" t="s">
        <v>40</v>
      </c>
      <c r="I179" s="73">
        <f ca="1">IFERROR(__xludf.DUMMYFUNCTION("IMPORTRANGE(""https://docs.google.com/spreadsheets/d/1C3CXT74ZlgGe6_JY_1olB1XN4rF0dxEuIIF-xsYjHgg/edit?usp=sharing"",""พรบ!BF86"")"),0)</f>
        <v>0</v>
      </c>
      <c r="J179" s="73">
        <v>0</v>
      </c>
      <c r="K179" s="250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55000000000000004">
      <c r="A180" s="60"/>
      <c r="B180" s="67"/>
      <c r="C180" s="67"/>
      <c r="D180" s="61"/>
      <c r="E180" s="82"/>
      <c r="F180" s="79" t="s">
        <v>87</v>
      </c>
      <c r="G180" s="81"/>
      <c r="H180" s="65" t="s">
        <v>16</v>
      </c>
      <c r="I180" s="73">
        <f ca="1">IFERROR(__xludf.DUMMYFUNCTION("IMPORTRANGE(""https://docs.google.com/spreadsheets/d/1C3CXT74ZlgGe6_JY_1olB1XN4rF0dxEuIIF-xsYjHgg/edit?usp=sharing"",""พรบ!BG86"")"),0)</f>
        <v>0</v>
      </c>
      <c r="J180" s="73">
        <v>0</v>
      </c>
      <c r="K180" s="250">
        <f t="shared" ca="1" si="41"/>
        <v>0</v>
      </c>
      <c r="L180" s="58"/>
      <c r="M180" s="58"/>
      <c r="N180" s="58"/>
    </row>
    <row r="181" spans="1:14" ht="21.75" customHeight="1" x14ac:dyDescent="0.55000000000000004">
      <c r="A181" s="60"/>
      <c r="B181" s="67"/>
      <c r="C181" s="67"/>
      <c r="D181" s="61"/>
      <c r="E181" s="82"/>
      <c r="F181" s="79" t="s">
        <v>88</v>
      </c>
      <c r="G181" s="81"/>
      <c r="H181" s="65" t="s">
        <v>16</v>
      </c>
      <c r="I181" s="73">
        <f ca="1">IFERROR(__xludf.DUMMYFUNCTION("IMPORTRANGE(""https://docs.google.com/spreadsheets/d/1C3CXT74ZlgGe6_JY_1olB1XN4rF0dxEuIIF-xsYjHgg/edit?usp=sharing"",""พรบ!BH86"")"),0)</f>
        <v>0</v>
      </c>
      <c r="J181" s="73">
        <v>0</v>
      </c>
      <c r="K181" s="250">
        <f t="shared" ca="1" si="41"/>
        <v>0</v>
      </c>
      <c r="L181" s="58"/>
      <c r="M181" s="58"/>
      <c r="N181" s="58"/>
    </row>
    <row r="182" spans="1:14" ht="21.75" customHeight="1" x14ac:dyDescent="0.55000000000000004">
      <c r="A182" s="60"/>
      <c r="B182" s="67"/>
      <c r="C182" s="67"/>
      <c r="D182" s="61"/>
      <c r="E182" s="82"/>
      <c r="F182" s="79" t="s">
        <v>89</v>
      </c>
      <c r="G182" s="81"/>
      <c r="H182" s="65" t="s">
        <v>16</v>
      </c>
      <c r="I182" s="73">
        <f ca="1">IFERROR(__xludf.DUMMYFUNCTION("IMPORTRANGE(""https://docs.google.com/spreadsheets/d/1C3CXT74ZlgGe6_JY_1olB1XN4rF0dxEuIIF-xsYjHgg/edit?usp=sharing"",""พรบ!BI86"")"),0)</f>
        <v>0</v>
      </c>
      <c r="J182" s="73">
        <v>0</v>
      </c>
      <c r="K182" s="250">
        <f t="shared" ca="1" si="41"/>
        <v>0</v>
      </c>
      <c r="L182" s="58"/>
      <c r="M182" s="58"/>
      <c r="N182" s="58"/>
    </row>
    <row r="183" spans="1:14" ht="21.75" customHeight="1" x14ac:dyDescent="0.55000000000000004">
      <c r="A183" s="60"/>
      <c r="B183" s="67"/>
      <c r="C183" s="67"/>
      <c r="D183" s="61"/>
      <c r="E183" s="79" t="s">
        <v>35</v>
      </c>
      <c r="F183" s="80"/>
      <c r="G183" s="81"/>
      <c r="H183" s="72"/>
      <c r="I183" s="73"/>
      <c r="J183" s="73">
        <v>0</v>
      </c>
      <c r="K183" s="250"/>
      <c r="L183" s="58"/>
      <c r="M183" s="58"/>
      <c r="N183" s="58"/>
    </row>
    <row r="184" spans="1:14" ht="21.75" customHeight="1" x14ac:dyDescent="0.55000000000000004">
      <c r="A184" s="112"/>
      <c r="B184" s="114"/>
      <c r="C184" s="114"/>
      <c r="D184" s="115">
        <v>3</v>
      </c>
      <c r="E184" s="116" t="s">
        <v>36</v>
      </c>
      <c r="F184" s="117"/>
      <c r="G184" s="118"/>
      <c r="H184" s="119"/>
      <c r="I184" s="120"/>
      <c r="J184" s="384">
        <v>0</v>
      </c>
      <c r="K184" s="385"/>
      <c r="L184" s="386"/>
      <c r="M184" s="386"/>
      <c r="N184" s="386"/>
    </row>
    <row r="185" spans="1:14" ht="21.75" customHeight="1" x14ac:dyDescent="0.55000000000000004">
      <c r="A185" s="186"/>
      <c r="B185" s="188" t="s">
        <v>90</v>
      </c>
      <c r="C185" s="188"/>
      <c r="D185" s="188"/>
      <c r="E185" s="188"/>
      <c r="F185" s="188"/>
      <c r="G185" s="189"/>
      <c r="H185" s="190" t="s">
        <v>16</v>
      </c>
      <c r="I185" s="191">
        <f ca="1">I195</f>
        <v>0</v>
      </c>
      <c r="J185" s="191">
        <f>+J195</f>
        <v>0</v>
      </c>
      <c r="K185" s="192">
        <f ca="1">IF(I185&gt;0,J185*100/I185,0)</f>
        <v>0</v>
      </c>
      <c r="L185" s="193">
        <f ca="1">L186+L187</f>
        <v>0</v>
      </c>
      <c r="M185" s="193">
        <f>SUM(M186:M187)</f>
        <v>0</v>
      </c>
      <c r="N185" s="192">
        <f ca="1">IF(L185&gt;0,M185*100/L185,0)</f>
        <v>0</v>
      </c>
    </row>
    <row r="186" spans="1:14" ht="21.75" customHeight="1" x14ac:dyDescent="0.55000000000000004">
      <c r="A186" s="46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73" t="s">
        <v>21</v>
      </c>
      <c r="J186" s="73"/>
      <c r="K186" s="250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55000000000000004">
      <c r="A187" s="46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73"/>
      <c r="J187" s="73"/>
      <c r="K187" s="250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55000000000000004">
      <c r="A188" s="46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73"/>
      <c r="J188" s="73"/>
      <c r="K188" s="250"/>
      <c r="L188" s="58">
        <f ca="1">IFERROR(__xludf.DUMMYFUNCTION("IMPORTRANGE(""https://docs.google.com/spreadsheets/d/1C3CXT74ZlgGe6_JY_1olB1XN4rF0dxEuIIF-xsYjHgg/edit?usp=sharing"",""พรบ!BK86"")"),0)</f>
        <v>0</v>
      </c>
      <c r="M188" s="58">
        <v>0</v>
      </c>
      <c r="N188" s="58">
        <f t="shared" ca="1" si="42"/>
        <v>0</v>
      </c>
    </row>
    <row r="189" spans="1:14" ht="21.75" customHeight="1" x14ac:dyDescent="0.55000000000000004">
      <c r="A189" s="46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73"/>
      <c r="J189" s="73"/>
      <c r="K189" s="250"/>
      <c r="L189" s="58">
        <f ca="1">IFERROR(__xludf.DUMMYFUNCTION("IMPORTRANGE(""https://docs.google.com/spreadsheets/d/1C3CXT74ZlgGe6_JY_1olB1XN4rF0dxEuIIF-xsYjHgg/edit?usp=sharing"",""พรบ!BL86"")"),0)</f>
        <v>0</v>
      </c>
      <c r="M189" s="58">
        <v>0</v>
      </c>
      <c r="N189" s="58">
        <f t="shared" ca="1" si="42"/>
        <v>0</v>
      </c>
    </row>
    <row r="190" spans="1:14" ht="21.75" customHeight="1" x14ac:dyDescent="0.55000000000000004">
      <c r="A190" s="60"/>
      <c r="B190" s="67"/>
      <c r="C190" s="48" t="s">
        <v>17</v>
      </c>
      <c r="D190" s="62" t="s">
        <v>25</v>
      </c>
      <c r="E190" s="63"/>
      <c r="F190" s="63"/>
      <c r="G190" s="64"/>
      <c r="H190" s="65"/>
      <c r="I190" s="73"/>
      <c r="J190" s="73"/>
      <c r="K190" s="250"/>
      <c r="L190" s="58"/>
      <c r="M190" s="58"/>
      <c r="N190" s="58"/>
    </row>
    <row r="191" spans="1:14" ht="21.75" customHeight="1" x14ac:dyDescent="0.55000000000000004">
      <c r="A191" s="60"/>
      <c r="B191" s="67"/>
      <c r="C191" s="67"/>
      <c r="D191" s="68">
        <v>1</v>
      </c>
      <c r="E191" s="69" t="s">
        <v>26</v>
      </c>
      <c r="F191" s="70"/>
      <c r="G191" s="71"/>
      <c r="H191" s="72"/>
      <c r="I191" s="73"/>
      <c r="J191" s="73">
        <v>0</v>
      </c>
      <c r="K191" s="250"/>
      <c r="L191" s="58"/>
      <c r="M191" s="58"/>
      <c r="N191" s="58"/>
    </row>
    <row r="192" spans="1:14" ht="21.75" customHeight="1" x14ac:dyDescent="0.55000000000000004">
      <c r="A192" s="60"/>
      <c r="B192" s="67"/>
      <c r="C192" s="67"/>
      <c r="D192" s="75">
        <v>2</v>
      </c>
      <c r="E192" s="76" t="s">
        <v>27</v>
      </c>
      <c r="F192" s="77"/>
      <c r="G192" s="78"/>
      <c r="H192" s="72"/>
      <c r="I192" s="73"/>
      <c r="J192" s="73">
        <v>0</v>
      </c>
      <c r="K192" s="250"/>
      <c r="L192" s="58"/>
      <c r="M192" s="58"/>
      <c r="N192" s="58"/>
    </row>
    <row r="193" spans="1:14" ht="21.75" customHeight="1" x14ac:dyDescent="0.55000000000000004">
      <c r="A193" s="60"/>
      <c r="B193" s="67"/>
      <c r="C193" s="67"/>
      <c r="D193" s="61"/>
      <c r="E193" s="79" t="s">
        <v>28</v>
      </c>
      <c r="F193" s="80"/>
      <c r="G193" s="81"/>
      <c r="H193" s="72"/>
      <c r="I193" s="73"/>
      <c r="J193" s="73">
        <v>0</v>
      </c>
      <c r="K193" s="250"/>
      <c r="L193" s="58"/>
      <c r="M193" s="58"/>
      <c r="N193" s="58"/>
    </row>
    <row r="194" spans="1:14" ht="21.75" customHeight="1" x14ac:dyDescent="0.55000000000000004">
      <c r="A194" s="60"/>
      <c r="B194" s="67"/>
      <c r="C194" s="67"/>
      <c r="D194" s="61"/>
      <c r="E194" s="79" t="s">
        <v>29</v>
      </c>
      <c r="F194" s="80"/>
      <c r="G194" s="81"/>
      <c r="H194" s="72"/>
      <c r="I194" s="73"/>
      <c r="J194" s="73">
        <v>0</v>
      </c>
      <c r="K194" s="250"/>
      <c r="L194" s="58"/>
      <c r="M194" s="58"/>
      <c r="N194" s="58"/>
    </row>
    <row r="195" spans="1:14" ht="21.75" customHeight="1" x14ac:dyDescent="0.55000000000000004">
      <c r="A195" s="60"/>
      <c r="B195" s="67"/>
      <c r="C195" s="67"/>
      <c r="D195" s="61"/>
      <c r="E195" s="80"/>
      <c r="F195" s="79" t="s">
        <v>91</v>
      </c>
      <c r="G195" s="81"/>
      <c r="H195" s="72" t="s">
        <v>16</v>
      </c>
      <c r="I195" s="73">
        <f ca="1">IFERROR(__xludf.DUMMYFUNCTION("IMPORTRANGE(""https://docs.google.com/spreadsheets/d/1C3CXT74ZlgGe6_JY_1olB1XN4rF0dxEuIIF-xsYjHgg/edit?usp=sharing"",""พรบ!BM86"")"),0)</f>
        <v>0</v>
      </c>
      <c r="J195" s="73">
        <v>0</v>
      </c>
      <c r="K195" s="250">
        <f ca="1">IF(I195&gt;0,J195*100/I195,0)</f>
        <v>0</v>
      </c>
      <c r="L195" s="58"/>
      <c r="M195" s="58"/>
      <c r="N195" s="58"/>
    </row>
    <row r="196" spans="1:14" ht="21.75" customHeight="1" x14ac:dyDescent="0.55000000000000004">
      <c r="A196" s="60"/>
      <c r="B196" s="67"/>
      <c r="C196" s="67"/>
      <c r="D196" s="61"/>
      <c r="E196" s="79" t="s">
        <v>35</v>
      </c>
      <c r="F196" s="80"/>
      <c r="G196" s="81"/>
      <c r="H196" s="72"/>
      <c r="I196" s="73"/>
      <c r="J196" s="73">
        <v>0</v>
      </c>
      <c r="K196" s="250"/>
      <c r="L196" s="58"/>
      <c r="M196" s="58"/>
      <c r="N196" s="58"/>
    </row>
    <row r="197" spans="1:14" ht="21.75" customHeight="1" x14ac:dyDescent="0.55000000000000004">
      <c r="A197" s="60"/>
      <c r="B197" s="67"/>
      <c r="C197" s="67"/>
      <c r="D197" s="86">
        <v>3</v>
      </c>
      <c r="E197" s="87" t="s">
        <v>36</v>
      </c>
      <c r="F197" s="88"/>
      <c r="G197" s="89"/>
      <c r="H197" s="72"/>
      <c r="I197" s="73"/>
      <c r="J197" s="380">
        <v>0</v>
      </c>
      <c r="K197" s="250"/>
      <c r="L197" s="58"/>
      <c r="M197" s="58"/>
      <c r="N197" s="58"/>
    </row>
    <row r="198" spans="1:14" ht="21.75" customHeight="1" x14ac:dyDescent="0.55000000000000004">
      <c r="A198" s="177" t="s">
        <v>92</v>
      </c>
      <c r="B198" s="179"/>
      <c r="C198" s="179"/>
      <c r="D198" s="180"/>
      <c r="E198" s="179"/>
      <c r="F198" s="179"/>
      <c r="G198" s="194"/>
      <c r="H198" s="195"/>
      <c r="I198" s="196"/>
      <c r="J198" s="196"/>
      <c r="K198" s="197"/>
      <c r="L198" s="197"/>
      <c r="M198" s="197"/>
      <c r="N198" s="185"/>
    </row>
    <row r="199" spans="1:14" ht="21.75" customHeight="1" x14ac:dyDescent="0.55000000000000004">
      <c r="A199" s="198"/>
      <c r="B199" s="188" t="s">
        <v>93</v>
      </c>
      <c r="C199" s="199"/>
      <c r="D199" s="200"/>
      <c r="E199" s="188"/>
      <c r="F199" s="188"/>
      <c r="G199" s="189"/>
      <c r="H199" s="190" t="s">
        <v>16</v>
      </c>
      <c r="I199" s="191">
        <f t="shared" ref="I199:J199" ca="1" si="44">I209</f>
        <v>0</v>
      </c>
      <c r="J199" s="191">
        <f t="shared" si="44"/>
        <v>0</v>
      </c>
      <c r="K199" s="192">
        <f ca="1">IF(I199&gt;0,J199*100/I199,0)</f>
        <v>0</v>
      </c>
      <c r="L199" s="193">
        <f ca="1">L200+L201</f>
        <v>0</v>
      </c>
      <c r="M199" s="193">
        <f>SUM(M200:M201)</f>
        <v>0</v>
      </c>
      <c r="N199" s="192">
        <f ca="1">IF(L199&gt;0,M199*100/L199,0)</f>
        <v>0</v>
      </c>
    </row>
    <row r="200" spans="1:14" ht="21.75" customHeight="1" x14ac:dyDescent="0.55000000000000004">
      <c r="A200" s="46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3" t="s">
        <v>21</v>
      </c>
      <c r="J200" s="73"/>
      <c r="K200" s="250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55000000000000004">
      <c r="A201" s="46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3"/>
      <c r="J201" s="73"/>
      <c r="K201" s="250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55000000000000004">
      <c r="A202" s="46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3"/>
      <c r="J202" s="73"/>
      <c r="K202" s="250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55000000000000004">
      <c r="A203" s="46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3"/>
      <c r="J203" s="73"/>
      <c r="K203" s="250"/>
      <c r="L203" s="58">
        <f ca="1">IFERROR(__xludf.DUMMYFUNCTION("IMPORTRANGE(""https://docs.google.com/spreadsheets/d/1C3CXT74ZlgGe6_JY_1olB1XN4rF0dxEuIIF-xsYjHgg/edit?usp=sharing"",""พรบ!BP86"")"),0)</f>
        <v>0</v>
      </c>
      <c r="M203" s="58">
        <v>0</v>
      </c>
      <c r="N203" s="58">
        <f ca="1">+IF(L203&gt;0,M203*100/L203,0)</f>
        <v>0</v>
      </c>
    </row>
    <row r="204" spans="1:14" ht="21.75" customHeight="1" x14ac:dyDescent="0.55000000000000004">
      <c r="A204" s="60"/>
      <c r="B204" s="67"/>
      <c r="C204" s="48" t="s">
        <v>17</v>
      </c>
      <c r="D204" s="62" t="s">
        <v>25</v>
      </c>
      <c r="E204" s="63"/>
      <c r="F204" s="63"/>
      <c r="G204" s="64"/>
      <c r="H204" s="65"/>
      <c r="I204" s="73"/>
      <c r="J204" s="73"/>
      <c r="K204" s="250"/>
      <c r="L204" s="58"/>
      <c r="M204" s="58"/>
      <c r="N204" s="58"/>
    </row>
    <row r="205" spans="1:14" ht="21.75" customHeight="1" x14ac:dyDescent="0.55000000000000004">
      <c r="A205" s="60"/>
      <c r="B205" s="67"/>
      <c r="C205" s="67"/>
      <c r="D205" s="68">
        <v>1</v>
      </c>
      <c r="E205" s="69" t="s">
        <v>26</v>
      </c>
      <c r="F205" s="70"/>
      <c r="G205" s="71"/>
      <c r="H205" s="72"/>
      <c r="I205" s="73"/>
      <c r="J205" s="73">
        <v>0</v>
      </c>
      <c r="K205" s="250"/>
      <c r="L205" s="58"/>
      <c r="M205" s="58"/>
      <c r="N205" s="58"/>
    </row>
    <row r="206" spans="1:14" ht="21.75" customHeight="1" x14ac:dyDescent="0.55000000000000004">
      <c r="A206" s="60"/>
      <c r="B206" s="67"/>
      <c r="C206" s="67"/>
      <c r="D206" s="75">
        <v>2</v>
      </c>
      <c r="E206" s="76" t="s">
        <v>27</v>
      </c>
      <c r="F206" s="77"/>
      <c r="G206" s="78"/>
      <c r="H206" s="72"/>
      <c r="I206" s="73"/>
      <c r="J206" s="73">
        <v>0</v>
      </c>
      <c r="K206" s="250"/>
      <c r="L206" s="58" t="s">
        <v>21</v>
      </c>
      <c r="M206" s="58" t="s">
        <v>21</v>
      </c>
      <c r="N206" s="58"/>
    </row>
    <row r="207" spans="1:14" ht="21.75" customHeight="1" x14ac:dyDescent="0.55000000000000004">
      <c r="A207" s="60"/>
      <c r="B207" s="67"/>
      <c r="C207" s="67"/>
      <c r="D207" s="61"/>
      <c r="E207" s="79" t="s">
        <v>28</v>
      </c>
      <c r="F207" s="80"/>
      <c r="G207" s="81"/>
      <c r="H207" s="72"/>
      <c r="I207" s="73"/>
      <c r="J207" s="73">
        <v>0</v>
      </c>
      <c r="K207" s="250"/>
      <c r="L207" s="58"/>
      <c r="M207" s="58"/>
      <c r="N207" s="58"/>
    </row>
    <row r="208" spans="1:14" ht="21.75" customHeight="1" x14ac:dyDescent="0.55000000000000004">
      <c r="A208" s="60"/>
      <c r="B208" s="67"/>
      <c r="C208" s="67"/>
      <c r="D208" s="61"/>
      <c r="E208" s="79" t="s">
        <v>29</v>
      </c>
      <c r="F208" s="80"/>
      <c r="G208" s="81"/>
      <c r="H208" s="72"/>
      <c r="I208" s="73"/>
      <c r="J208" s="73">
        <v>0</v>
      </c>
      <c r="K208" s="250"/>
      <c r="L208" s="58"/>
      <c r="M208" s="58"/>
      <c r="N208" s="58"/>
    </row>
    <row r="209" spans="1:14" ht="21.75" customHeight="1" x14ac:dyDescent="0.55000000000000004">
      <c r="A209" s="60"/>
      <c r="B209" s="67"/>
      <c r="C209" s="67"/>
      <c r="D209" s="61"/>
      <c r="E209" s="82"/>
      <c r="F209" s="79" t="s">
        <v>94</v>
      </c>
      <c r="G209" s="81"/>
      <c r="H209" s="65" t="s">
        <v>16</v>
      </c>
      <c r="I209" s="73">
        <f ca="1">IFERROR(__xludf.DUMMYFUNCTION("IMPORTRANGE(""https://docs.google.com/spreadsheets/d/1C3CXT74ZlgGe6_JY_1olB1XN4rF0dxEuIIF-xsYjHgg/edit?usp=sharing"",""พรบ!BQ86"")"),0)</f>
        <v>0</v>
      </c>
      <c r="J209" s="73">
        <v>0</v>
      </c>
      <c r="K209" s="250">
        <f ca="1">IF(I209&gt;0,J209*100/I209,0)</f>
        <v>0</v>
      </c>
      <c r="L209" s="58"/>
      <c r="M209" s="58"/>
      <c r="N209" s="58"/>
    </row>
    <row r="210" spans="1:14" ht="21.75" customHeight="1" x14ac:dyDescent="0.55000000000000004">
      <c r="A210" s="60"/>
      <c r="B210" s="67"/>
      <c r="C210" s="67"/>
      <c r="D210" s="61"/>
      <c r="E210" s="82"/>
      <c r="F210" s="79" t="s">
        <v>95</v>
      </c>
      <c r="G210" s="81"/>
      <c r="H210" s="65"/>
      <c r="I210" s="73"/>
      <c r="J210" s="73"/>
      <c r="K210" s="250"/>
      <c r="L210" s="58"/>
      <c r="M210" s="58"/>
      <c r="N210" s="58"/>
    </row>
    <row r="211" spans="1:14" ht="21.75" customHeight="1" x14ac:dyDescent="0.55000000000000004">
      <c r="A211" s="60"/>
      <c r="B211" s="67"/>
      <c r="C211" s="67"/>
      <c r="D211" s="61"/>
      <c r="E211" s="82"/>
      <c r="F211" s="80" t="s">
        <v>34</v>
      </c>
      <c r="G211" s="81"/>
      <c r="H211" s="65" t="s">
        <v>16</v>
      </c>
      <c r="I211" s="73">
        <f ca="1">IFERROR(__xludf.DUMMYFUNCTION("IMPORTRANGE(""https://docs.google.com/spreadsheets/d/1C3CXT74ZlgGe6_JY_1olB1XN4rF0dxEuIIF-xsYjHgg/edit?usp=sharing"",""พรบ!BR86"")"),0)</f>
        <v>0</v>
      </c>
      <c r="J211" s="73">
        <v>0</v>
      </c>
      <c r="K211" s="250">
        <f ca="1">IF(I211&gt;0,J211*100/I211,0)</f>
        <v>0</v>
      </c>
      <c r="L211" s="58"/>
      <c r="M211" s="58"/>
      <c r="N211" s="58"/>
    </row>
    <row r="212" spans="1:14" ht="21.75" customHeight="1" x14ac:dyDescent="0.55000000000000004">
      <c r="A212" s="60"/>
      <c r="B212" s="67"/>
      <c r="C212" s="67"/>
      <c r="D212" s="61"/>
      <c r="E212" s="79" t="s">
        <v>35</v>
      </c>
      <c r="F212" s="80"/>
      <c r="G212" s="81"/>
      <c r="H212" s="72"/>
      <c r="I212" s="73"/>
      <c r="J212" s="73">
        <v>0</v>
      </c>
      <c r="K212" s="250"/>
      <c r="L212" s="58"/>
      <c r="M212" s="58"/>
      <c r="N212" s="58"/>
    </row>
    <row r="213" spans="1:14" ht="21.75" customHeight="1" x14ac:dyDescent="0.55000000000000004">
      <c r="A213" s="60"/>
      <c r="B213" s="67"/>
      <c r="C213" s="67"/>
      <c r="D213" s="86">
        <v>3</v>
      </c>
      <c r="E213" s="87" t="s">
        <v>36</v>
      </c>
      <c r="F213" s="88"/>
      <c r="G213" s="89"/>
      <c r="H213" s="72"/>
      <c r="I213" s="73"/>
      <c r="J213" s="397">
        <v>0</v>
      </c>
      <c r="K213" s="250"/>
      <c r="L213" s="58"/>
      <c r="M213" s="58"/>
      <c r="N213" s="58"/>
    </row>
    <row r="214" spans="1:14" ht="21.75" customHeight="1" x14ac:dyDescent="0.55000000000000004">
      <c r="A214" s="202"/>
      <c r="B214" s="206" t="s">
        <v>96</v>
      </c>
      <c r="C214" s="204"/>
      <c r="D214" s="205"/>
      <c r="E214" s="206"/>
      <c r="F214" s="206"/>
      <c r="G214" s="207"/>
      <c r="H214" s="208" t="s">
        <v>97</v>
      </c>
      <c r="I214" s="209">
        <f t="shared" ref="I214:J214" ca="1" si="47">I224</f>
        <v>0</v>
      </c>
      <c r="J214" s="209">
        <f t="shared" si="47"/>
        <v>0</v>
      </c>
      <c r="K214" s="210">
        <f ca="1">IF(I214&gt;0,J214*100/I214,0)</f>
        <v>0</v>
      </c>
      <c r="L214" s="211">
        <f ca="1">L215+L216</f>
        <v>0</v>
      </c>
      <c r="M214" s="211">
        <f>SUM(M215:M216)</f>
        <v>0</v>
      </c>
      <c r="N214" s="210">
        <f ca="1">IF(L214&gt;0,M214*100/L214,0)</f>
        <v>0</v>
      </c>
    </row>
    <row r="215" spans="1:14" ht="21.75" customHeight="1" x14ac:dyDescent="0.55000000000000004">
      <c r="A215" s="46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3" t="s">
        <v>21</v>
      </c>
      <c r="J215" s="73"/>
      <c r="K215" s="250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55000000000000004">
      <c r="A216" s="46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3"/>
      <c r="J216" s="73"/>
      <c r="K216" s="250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55000000000000004">
      <c r="A217" s="46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3"/>
      <c r="J217" s="73"/>
      <c r="K217" s="250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55000000000000004">
      <c r="A218" s="46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3"/>
      <c r="J218" s="73"/>
      <c r="K218" s="250"/>
      <c r="L218" s="58">
        <f ca="1">IFERROR(__xludf.DUMMYFUNCTION("IMPORTRANGE(""https://docs.google.com/spreadsheets/d/1C3CXT74ZlgGe6_JY_1olB1XN4rF0dxEuIIF-xsYjHgg/edit?usp=sharing"",""พรบ!BU86"")"),0)</f>
        <v>0</v>
      </c>
      <c r="M218" s="58">
        <v>0</v>
      </c>
      <c r="N218" s="58">
        <f t="shared" ca="1" si="48"/>
        <v>0</v>
      </c>
    </row>
    <row r="219" spans="1:14" ht="21.75" customHeight="1" x14ac:dyDescent="0.55000000000000004">
      <c r="A219" s="60"/>
      <c r="B219" s="67"/>
      <c r="C219" s="48" t="s">
        <v>17</v>
      </c>
      <c r="D219" s="62" t="s">
        <v>25</v>
      </c>
      <c r="E219" s="63"/>
      <c r="F219" s="63"/>
      <c r="G219" s="64"/>
      <c r="H219" s="65"/>
      <c r="I219" s="73"/>
      <c r="J219" s="73"/>
      <c r="K219" s="250"/>
      <c r="L219" s="58"/>
      <c r="M219" s="58"/>
      <c r="N219" s="58"/>
    </row>
    <row r="220" spans="1:14" ht="21.75" customHeight="1" x14ac:dyDescent="0.55000000000000004">
      <c r="A220" s="60"/>
      <c r="B220" s="67"/>
      <c r="C220" s="67"/>
      <c r="D220" s="68">
        <v>1</v>
      </c>
      <c r="E220" s="69" t="s">
        <v>26</v>
      </c>
      <c r="F220" s="70"/>
      <c r="G220" s="71"/>
      <c r="H220" s="72"/>
      <c r="I220" s="73"/>
      <c r="J220" s="73">
        <v>0</v>
      </c>
      <c r="K220" s="250"/>
      <c r="L220" s="58"/>
      <c r="M220" s="58"/>
      <c r="N220" s="58"/>
    </row>
    <row r="221" spans="1:14" ht="21.75" customHeight="1" x14ac:dyDescent="0.55000000000000004">
      <c r="A221" s="60"/>
      <c r="B221" s="67"/>
      <c r="C221" s="67"/>
      <c r="D221" s="75">
        <v>2</v>
      </c>
      <c r="E221" s="76" t="s">
        <v>27</v>
      </c>
      <c r="F221" s="77"/>
      <c r="G221" s="78"/>
      <c r="H221" s="72"/>
      <c r="I221" s="73"/>
      <c r="J221" s="73">
        <v>0</v>
      </c>
      <c r="K221" s="250"/>
      <c r="L221" s="58" t="s">
        <v>21</v>
      </c>
      <c r="M221" s="58" t="s">
        <v>21</v>
      </c>
      <c r="N221" s="58"/>
    </row>
    <row r="222" spans="1:14" ht="21.75" customHeight="1" x14ac:dyDescent="0.55000000000000004">
      <c r="A222" s="60"/>
      <c r="B222" s="67"/>
      <c r="C222" s="67"/>
      <c r="D222" s="61"/>
      <c r="E222" s="79" t="s">
        <v>28</v>
      </c>
      <c r="F222" s="80"/>
      <c r="G222" s="81"/>
      <c r="H222" s="72"/>
      <c r="I222" s="73"/>
      <c r="J222" s="73">
        <v>0</v>
      </c>
      <c r="K222" s="250"/>
      <c r="L222" s="58"/>
      <c r="M222" s="58"/>
      <c r="N222" s="58"/>
    </row>
    <row r="223" spans="1:14" ht="21.75" customHeight="1" x14ac:dyDescent="0.55000000000000004">
      <c r="A223" s="60"/>
      <c r="B223" s="67"/>
      <c r="C223" s="67"/>
      <c r="D223" s="61"/>
      <c r="E223" s="79" t="s">
        <v>29</v>
      </c>
      <c r="F223" s="80"/>
      <c r="G223" s="81"/>
      <c r="H223" s="72"/>
      <c r="I223" s="73"/>
      <c r="J223" s="73">
        <v>0</v>
      </c>
      <c r="K223" s="250"/>
      <c r="L223" s="58"/>
      <c r="M223" s="58"/>
      <c r="N223" s="58"/>
    </row>
    <row r="224" spans="1:14" ht="21.75" customHeight="1" x14ac:dyDescent="0.55000000000000004">
      <c r="A224" s="60"/>
      <c r="B224" s="67"/>
      <c r="C224" s="67"/>
      <c r="D224" s="61"/>
      <c r="E224" s="82"/>
      <c r="F224" s="79" t="s">
        <v>98</v>
      </c>
      <c r="G224" s="81"/>
      <c r="H224" s="72" t="s">
        <v>97</v>
      </c>
      <c r="I224" s="73">
        <f ca="1">IFERROR(__xludf.DUMMYFUNCTION("IMPORTRANGE(""https://docs.google.com/spreadsheets/d/1C3CXT74ZlgGe6_JY_1olB1XN4rF0dxEuIIF-xsYjHgg/edit?usp=sharing"",""พรบ!BV86"")"),0)</f>
        <v>0</v>
      </c>
      <c r="J224" s="73">
        <v>0</v>
      </c>
      <c r="K224" s="250">
        <f ca="1">IF(I224&gt;0,J224*100/I224,0)</f>
        <v>0</v>
      </c>
      <c r="L224" s="58"/>
      <c r="M224" s="58"/>
      <c r="N224" s="58"/>
    </row>
    <row r="225" spans="1:14" ht="21.75" customHeight="1" x14ac:dyDescent="0.55000000000000004">
      <c r="A225" s="60"/>
      <c r="B225" s="67"/>
      <c r="C225" s="67"/>
      <c r="D225" s="61"/>
      <c r="E225" s="79" t="s">
        <v>35</v>
      </c>
      <c r="F225" s="80"/>
      <c r="G225" s="81"/>
      <c r="H225" s="72"/>
      <c r="I225" s="73"/>
      <c r="J225" s="73">
        <v>0</v>
      </c>
      <c r="K225" s="250"/>
      <c r="L225" s="58"/>
      <c r="M225" s="58"/>
      <c r="N225" s="58"/>
    </row>
    <row r="226" spans="1:14" ht="21.75" customHeight="1" x14ac:dyDescent="0.55000000000000004">
      <c r="A226" s="60"/>
      <c r="B226" s="67"/>
      <c r="C226" s="67"/>
      <c r="D226" s="86">
        <v>3</v>
      </c>
      <c r="E226" s="87" t="s">
        <v>36</v>
      </c>
      <c r="F226" s="88"/>
      <c r="G226" s="89"/>
      <c r="H226" s="72"/>
      <c r="I226" s="73"/>
      <c r="J226" s="380">
        <v>0</v>
      </c>
      <c r="K226" s="250"/>
      <c r="L226" s="58"/>
      <c r="M226" s="58"/>
      <c r="N226" s="58"/>
    </row>
    <row r="227" spans="1:14" ht="21.75" customHeight="1" x14ac:dyDescent="0.55000000000000004">
      <c r="A227" s="177" t="s">
        <v>99</v>
      </c>
      <c r="B227" s="179"/>
      <c r="C227" s="179"/>
      <c r="D227" s="180"/>
      <c r="E227" s="179"/>
      <c r="F227" s="179"/>
      <c r="G227" s="194"/>
      <c r="H227" s="182"/>
      <c r="I227" s="183"/>
      <c r="J227" s="183"/>
      <c r="K227" s="184"/>
      <c r="L227" s="184"/>
      <c r="M227" s="184"/>
      <c r="N227" s="185"/>
    </row>
    <row r="228" spans="1:14" ht="21.75" customHeight="1" x14ac:dyDescent="0.55000000000000004">
      <c r="A228" s="186"/>
      <c r="B228" s="188" t="s">
        <v>100</v>
      </c>
      <c r="C228" s="200"/>
      <c r="D228" s="188"/>
      <c r="E228" s="188"/>
      <c r="F228" s="188"/>
      <c r="G228" s="189"/>
      <c r="H228" s="190" t="s">
        <v>16</v>
      </c>
      <c r="I228" s="212">
        <f ca="1">I236</f>
        <v>210</v>
      </c>
      <c r="J228" s="212">
        <f ca="1">J240</f>
        <v>0</v>
      </c>
      <c r="K228" s="192">
        <f ca="1">IF(I228&gt;0,J228*100/I228,0)</f>
        <v>0</v>
      </c>
      <c r="L228" s="193">
        <f ca="1">L229+L230</f>
        <v>695140</v>
      </c>
      <c r="M228" s="193">
        <f>SUM(M229:M230)</f>
        <v>0</v>
      </c>
      <c r="N228" s="192">
        <f ca="1">IF(L228&gt;0,M228*100/L228,0)</f>
        <v>0</v>
      </c>
    </row>
    <row r="229" spans="1:14" ht="21.75" customHeight="1" x14ac:dyDescent="0.55000000000000004">
      <c r="A229" s="46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55000000000000004">
      <c r="A230" s="46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695140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55000000000000004">
      <c r="A231" s="46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IFERROR(__xludf.DUMMYFUNCTION("IMPORTRANGE(""https://docs.google.com/spreadsheets/d/1C3CXT74ZlgGe6_JY_1olB1XN4rF0dxEuIIF-xsYjHgg/edit?usp=sharing"",""พรบ!BX86"")"),417600)</f>
        <v>417600</v>
      </c>
      <c r="M231" s="59">
        <v>0</v>
      </c>
      <c r="N231" s="58">
        <f t="shared" ca="1" si="50"/>
        <v>0</v>
      </c>
    </row>
    <row r="232" spans="1:14" ht="21.75" customHeight="1" x14ac:dyDescent="0.55000000000000004">
      <c r="A232" s="46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IFERROR(__xludf.DUMMYFUNCTION("IMPORTRANGE(""https://docs.google.com/spreadsheets/d/1C3CXT74ZlgGe6_JY_1olB1XN4rF0dxEuIIF-xsYjHgg/edit?usp=sharing"",""พรบ!BY86"")"),277540)</f>
        <v>277540</v>
      </c>
      <c r="M232" s="59">
        <v>0</v>
      </c>
      <c r="N232" s="58">
        <f t="shared" ca="1" si="50"/>
        <v>0</v>
      </c>
    </row>
    <row r="233" spans="1:14" ht="21.75" customHeight="1" x14ac:dyDescent="0.55000000000000004">
      <c r="A233" s="60"/>
      <c r="B233" s="286"/>
      <c r="C233" s="213" t="s">
        <v>101</v>
      </c>
      <c r="D233" s="80"/>
      <c r="E233" s="80"/>
      <c r="F233" s="80"/>
      <c r="G233" s="81"/>
      <c r="H233" s="65"/>
      <c r="I233" s="214"/>
      <c r="J233" s="214"/>
      <c r="K233" s="215"/>
      <c r="L233" s="66"/>
      <c r="M233" s="66"/>
      <c r="N233" s="216"/>
    </row>
    <row r="234" spans="1:14" ht="21.75" customHeight="1" x14ac:dyDescent="0.55000000000000004">
      <c r="A234" s="60"/>
      <c r="B234" s="286"/>
      <c r="C234" s="67"/>
      <c r="D234" s="80"/>
      <c r="E234" s="79" t="s">
        <v>102</v>
      </c>
      <c r="F234" s="80"/>
      <c r="G234" s="81"/>
      <c r="H234" s="65" t="s">
        <v>16</v>
      </c>
      <c r="I234" s="73">
        <v>0</v>
      </c>
      <c r="J234" s="73">
        <f ca="1">IFERROR(__xludf.DUMMYFUNCTION("IMPORTRANGE(""https://docs.google.com/spreadsheets/d/1AGHcLOeeYFL3K4b9R1dSzyJy00PE_ra89DNTVfnxSWM/edit?usp=sharing"",""รวมที่ทำกิน!J75"")"),0)</f>
        <v>0</v>
      </c>
      <c r="K234" s="215">
        <f t="shared" ref="K234:K241" si="52">IF(I234&gt;0,J234*100/I234,0)</f>
        <v>0</v>
      </c>
      <c r="L234" s="66"/>
      <c r="M234" s="66"/>
      <c r="N234" s="216"/>
    </row>
    <row r="235" spans="1:14" ht="21.75" customHeight="1" x14ac:dyDescent="0.55000000000000004">
      <c r="A235" s="60"/>
      <c r="B235" s="286"/>
      <c r="C235" s="67"/>
      <c r="D235" s="80"/>
      <c r="E235" s="80"/>
      <c r="F235" s="80"/>
      <c r="G235" s="81"/>
      <c r="H235" s="65" t="s">
        <v>221</v>
      </c>
      <c r="I235" s="73">
        <f ca="1">IFERROR(__xludf.DUMMYFUNCTION("IMPORTRANGE(""https://docs.google.com/spreadsheets/d/1C3CXT74ZlgGe6_JY_1olB1XN4rF0dxEuIIF-xsYjHgg/edit?usp=sharing"",""พรบ!BZ86"")"),944)</f>
        <v>944</v>
      </c>
      <c r="J235" s="73">
        <f ca="1">IFERROR(__xludf.DUMMYFUNCTION("IMPORTRANGE(""https://docs.google.com/spreadsheets/d/1AGHcLOeeYFL3K4b9R1dSzyJy00PE_ra89DNTVfnxSWM/edit?usp=sharing"",""รวมที่ทำกิน!L75"")"),0)</f>
        <v>0</v>
      </c>
      <c r="K235" s="215">
        <f t="shared" ca="1" si="52"/>
        <v>0</v>
      </c>
      <c r="L235" s="66"/>
      <c r="M235" s="66"/>
      <c r="N235" s="216"/>
    </row>
    <row r="236" spans="1:14" ht="21.75" customHeight="1" x14ac:dyDescent="0.55000000000000004">
      <c r="A236" s="60"/>
      <c r="B236" s="286"/>
      <c r="C236" s="67"/>
      <c r="D236" s="80"/>
      <c r="E236" s="79" t="s">
        <v>104</v>
      </c>
      <c r="F236" s="80"/>
      <c r="G236" s="81"/>
      <c r="H236" s="65" t="s">
        <v>16</v>
      </c>
      <c r="I236" s="73">
        <f ca="1">IFERROR(__xludf.DUMMYFUNCTION("IMPORTRANGE(""https://docs.google.com/spreadsheets/d/1C3CXT74ZlgGe6_JY_1olB1XN4rF0dxEuIIF-xsYjHgg/edit?usp=sharing"",""พรบ!CA86"")"),210)</f>
        <v>210</v>
      </c>
      <c r="J236" s="73">
        <f ca="1">IFERROR(__xludf.DUMMYFUNCTION("IMPORTRANGE(""https://docs.google.com/spreadsheets/d/1AGHcLOeeYFL3K4b9R1dSzyJy00PE_ra89DNTVfnxSWM/edit?usp=sharing"",""รวมที่ทำกิน!O75"")"),1)</f>
        <v>1</v>
      </c>
      <c r="K236" s="215">
        <f t="shared" ca="1" si="52"/>
        <v>0.47619047619047616</v>
      </c>
      <c r="L236" s="66"/>
      <c r="M236" s="66"/>
      <c r="N236" s="216"/>
    </row>
    <row r="237" spans="1:14" ht="21.75" customHeight="1" x14ac:dyDescent="0.55000000000000004">
      <c r="A237" s="60"/>
      <c r="B237" s="286"/>
      <c r="C237" s="67"/>
      <c r="D237" s="80"/>
      <c r="E237" s="80"/>
      <c r="F237" s="80"/>
      <c r="G237" s="81"/>
      <c r="H237" s="65" t="s">
        <v>103</v>
      </c>
      <c r="I237" s="214">
        <v>0</v>
      </c>
      <c r="J237" s="73">
        <f ca="1">IFERROR(__xludf.DUMMYFUNCTION("IMPORTRANGE(""https://docs.google.com/spreadsheets/d/1AGHcLOeeYFL3K4b9R1dSzyJy00PE_ra89DNTVfnxSWM/edit?usp=sharing"",""รวมที่ทำกิน!Q75"")"),11.43)</f>
        <v>11.43</v>
      </c>
      <c r="K237" s="215">
        <f t="shared" si="52"/>
        <v>0</v>
      </c>
      <c r="L237" s="66"/>
      <c r="M237" s="66"/>
      <c r="N237" s="216"/>
    </row>
    <row r="238" spans="1:14" ht="21.75" customHeight="1" x14ac:dyDescent="0.55000000000000004">
      <c r="A238" s="60"/>
      <c r="B238" s="286"/>
      <c r="C238" s="67"/>
      <c r="D238" s="80"/>
      <c r="E238" s="79" t="s">
        <v>105</v>
      </c>
      <c r="F238" s="80"/>
      <c r="G238" s="81"/>
      <c r="H238" s="65" t="s">
        <v>16</v>
      </c>
      <c r="I238" s="73">
        <f ca="1">IFERROR(__xludf.DUMMYFUNCTION("IMPORTRANGE(""https://docs.google.com/spreadsheets/d/1C3CXT74ZlgGe6_JY_1olB1XN4rF0dxEuIIF-xsYjHgg/edit?usp=sharing"",""พรบ!CB86"")"),210)</f>
        <v>210</v>
      </c>
      <c r="J238" s="73">
        <f ca="1">IFERROR(__xludf.DUMMYFUNCTION("IMPORTRANGE(""https://docs.google.com/spreadsheets/d/1AGHcLOeeYFL3K4b9R1dSzyJy00PE_ra89DNTVfnxSWM/edit?usp=sharing"",""รวมที่ทำกิน!S75"")"),0)</f>
        <v>0</v>
      </c>
      <c r="K238" s="215">
        <f t="shared" ca="1" si="52"/>
        <v>0</v>
      </c>
      <c r="L238" s="66"/>
      <c r="M238" s="66"/>
      <c r="N238" s="216"/>
    </row>
    <row r="239" spans="1:14" ht="21.75" customHeight="1" x14ac:dyDescent="0.55000000000000004">
      <c r="A239" s="60"/>
      <c r="B239" s="286"/>
      <c r="C239" s="67"/>
      <c r="D239" s="80"/>
      <c r="E239" s="80"/>
      <c r="F239" s="80"/>
      <c r="G239" s="81"/>
      <c r="H239" s="65" t="s">
        <v>103</v>
      </c>
      <c r="I239" s="214">
        <v>0</v>
      </c>
      <c r="J239" s="73">
        <f ca="1">IFERROR(__xludf.DUMMYFUNCTION("IMPORTRANGE(""https://docs.google.com/spreadsheets/d/1AGHcLOeeYFL3K4b9R1dSzyJy00PE_ra89DNTVfnxSWM/edit?usp=sharing"",""รวมที่ทำกิน!U75"")"),0)</f>
        <v>0</v>
      </c>
      <c r="K239" s="215">
        <f t="shared" si="52"/>
        <v>0</v>
      </c>
      <c r="L239" s="66"/>
      <c r="M239" s="66"/>
      <c r="N239" s="216"/>
    </row>
    <row r="240" spans="1:14" ht="21.75" customHeight="1" x14ac:dyDescent="0.55000000000000004">
      <c r="A240" s="60"/>
      <c r="B240" s="286"/>
      <c r="C240" s="67"/>
      <c r="D240" s="80"/>
      <c r="E240" s="79" t="s">
        <v>106</v>
      </c>
      <c r="F240" s="80"/>
      <c r="G240" s="81"/>
      <c r="H240" s="65" t="s">
        <v>16</v>
      </c>
      <c r="I240" s="73">
        <f ca="1">IFERROR(__xludf.DUMMYFUNCTION("IMPORTRANGE(""https://docs.google.com/spreadsheets/d/1C3CXT74ZlgGe6_JY_1olB1XN4rF0dxEuIIF-xsYjHgg/edit?usp=sharing"",""พรบ!CC86"")"),210)</f>
        <v>210</v>
      </c>
      <c r="J240" s="73">
        <f ca="1">IFERROR(__xludf.DUMMYFUNCTION("IMPORTRANGE(""https://docs.google.com/spreadsheets/d/1AGHcLOeeYFL3K4b9R1dSzyJy00PE_ra89DNTVfnxSWM/edit?usp=sharing"",""รวมที่ทำกิน!W75"")"),0)</f>
        <v>0</v>
      </c>
      <c r="K240" s="215">
        <f t="shared" ca="1" si="52"/>
        <v>0</v>
      </c>
      <c r="L240" s="66"/>
      <c r="M240" s="66"/>
      <c r="N240" s="216"/>
    </row>
    <row r="241" spans="1:14" ht="21.75" customHeight="1" x14ac:dyDescent="0.55000000000000004">
      <c r="A241" s="112"/>
      <c r="B241" s="218"/>
      <c r="C241" s="114"/>
      <c r="D241" s="218"/>
      <c r="E241" s="219"/>
      <c r="F241" s="219"/>
      <c r="G241" s="220"/>
      <c r="H241" s="221" t="s">
        <v>103</v>
      </c>
      <c r="I241" s="222">
        <v>0</v>
      </c>
      <c r="J241" s="73">
        <f ca="1">IFERROR(__xludf.DUMMYFUNCTION("IMPORTRANGE(""https://docs.google.com/spreadsheets/d/1AGHcLOeeYFL3K4b9R1dSzyJy00PE_ra89DNTVfnxSWM/edit?usp=sharing"",""รวมที่ทำกิน!Y75"")"),0)</f>
        <v>0</v>
      </c>
      <c r="K241" s="387">
        <f t="shared" si="52"/>
        <v>0</v>
      </c>
      <c r="L241" s="123"/>
      <c r="M241" s="123"/>
      <c r="N241" s="223"/>
    </row>
    <row r="242" spans="1:14" ht="21.75" customHeight="1" x14ac:dyDescent="0.55000000000000004">
      <c r="A242" s="224" t="s">
        <v>107</v>
      </c>
      <c r="B242" s="226"/>
      <c r="C242" s="226"/>
      <c r="D242" s="226"/>
      <c r="E242" s="226"/>
      <c r="F242" s="226"/>
      <c r="G242" s="227"/>
      <c r="H242" s="228"/>
      <c r="I242" s="229"/>
      <c r="J242" s="229"/>
      <c r="K242" s="230"/>
      <c r="L242" s="230">
        <f t="shared" ref="L242:M242" ca="1" si="53">SUM(L244,L275,L296,L330,L350,L426,L444,L457,L473,L490)</f>
        <v>718826</v>
      </c>
      <c r="M242" s="230">
        <f t="shared" si="53"/>
        <v>99833.29</v>
      </c>
      <c r="N242" s="230">
        <f ca="1">+IF(L242&gt;0,M242*100/L242,0)</f>
        <v>13.888380498201233</v>
      </c>
    </row>
    <row r="243" spans="1:14" ht="21.75" customHeight="1" x14ac:dyDescent="0.55000000000000004">
      <c r="A243" s="231" t="s">
        <v>108</v>
      </c>
      <c r="B243" s="233"/>
      <c r="C243" s="233"/>
      <c r="D243" s="233"/>
      <c r="E243" s="233"/>
      <c r="F243" s="233"/>
      <c r="G243" s="234"/>
      <c r="H243" s="235"/>
      <c r="I243" s="236"/>
      <c r="J243" s="236"/>
      <c r="K243" s="237"/>
      <c r="L243" s="237"/>
      <c r="M243" s="237"/>
      <c r="N243" s="238"/>
    </row>
    <row r="244" spans="1:14" ht="21.75" customHeight="1" x14ac:dyDescent="0.55000000000000004">
      <c r="A244" s="239"/>
      <c r="B244" s="256">
        <v>1</v>
      </c>
      <c r="C244" s="241" t="s">
        <v>109</v>
      </c>
      <c r="D244" s="241"/>
      <c r="E244" s="241"/>
      <c r="F244" s="241"/>
      <c r="G244" s="242"/>
      <c r="H244" s="243" t="s">
        <v>103</v>
      </c>
      <c r="I244" s="244">
        <f t="shared" ref="I244:J244" ca="1" si="54">I270</f>
        <v>20</v>
      </c>
      <c r="J244" s="244">
        <f t="shared" si="54"/>
        <v>20</v>
      </c>
      <c r="K244" s="245">
        <f t="shared" ref="K244:K245" ca="1" si="55">IF(I244&gt;0,J244*100/I244,0)</f>
        <v>100</v>
      </c>
      <c r="L244" s="246">
        <f t="shared" ref="L244:M244" ca="1" si="56">SUM(L246:L247)</f>
        <v>215720</v>
      </c>
      <c r="M244" s="246">
        <f t="shared" si="56"/>
        <v>27404.09</v>
      </c>
      <c r="N244" s="246">
        <f ca="1">+IF(L244&gt;0,M244*100/L244,0)</f>
        <v>12.703546263675134</v>
      </c>
    </row>
    <row r="245" spans="1:14" ht="21.75" customHeight="1" x14ac:dyDescent="0.55000000000000004">
      <c r="A245" s="239"/>
      <c r="B245" s="256"/>
      <c r="C245" s="241"/>
      <c r="D245" s="241"/>
      <c r="E245" s="241"/>
      <c r="F245" s="241"/>
      <c r="G245" s="242"/>
      <c r="H245" s="243" t="s">
        <v>16</v>
      </c>
      <c r="I245" s="244">
        <f t="shared" ref="I245:J245" ca="1" si="57">I263</f>
        <v>10</v>
      </c>
      <c r="J245" s="244">
        <f t="shared" si="57"/>
        <v>10</v>
      </c>
      <c r="K245" s="245">
        <f t="shared" ca="1" si="55"/>
        <v>100</v>
      </c>
      <c r="L245" s="246"/>
      <c r="M245" s="246"/>
      <c r="N245" s="246"/>
    </row>
    <row r="246" spans="1:14" ht="21.75" customHeight="1" x14ac:dyDescent="0.55000000000000004">
      <c r="A246" s="46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8">+IF(L246&gt;0,M246*100/L246,0)</f>
        <v>0</v>
      </c>
    </row>
    <row r="247" spans="1:14" ht="21.75" customHeight="1" x14ac:dyDescent="0.55000000000000004">
      <c r="A247" s="46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9">SUM(L248:L249)</f>
        <v>215720</v>
      </c>
      <c r="M247" s="55">
        <f t="shared" si="59"/>
        <v>27404.09</v>
      </c>
      <c r="N247" s="55">
        <f t="shared" ca="1" si="58"/>
        <v>12.703546263675134</v>
      </c>
    </row>
    <row r="248" spans="1:14" ht="21.75" customHeight="1" x14ac:dyDescent="0.55000000000000004">
      <c r="A248" s="46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IFERROR(__xludf.DUMMYFUNCTION("IMPORTRANGE(""https://docs.google.com/spreadsheets/d/1C3CXT74ZlgGe6_JY_1olB1XN4rF0dxEuIIF-xsYjHgg/edit?usp=sharing"",""งบกองทุน!d86"")"),0)</f>
        <v>0</v>
      </c>
      <c r="M248" s="58">
        <v>0</v>
      </c>
      <c r="N248" s="58">
        <f t="shared" ca="1" si="58"/>
        <v>0</v>
      </c>
    </row>
    <row r="249" spans="1:14" ht="21.75" customHeight="1" x14ac:dyDescent="0.55000000000000004">
      <c r="A249" s="46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IFERROR(__xludf.DUMMYFUNCTION("IMPORTRANGE(""https://docs.google.com/spreadsheets/d/1C3CXT74ZlgGe6_JY_1olB1XN4rF0dxEuIIF-xsYjHgg/edit?usp=sharing"",""งบกองทุน!e86"")"),215720)</f>
        <v>215720</v>
      </c>
      <c r="M249" s="58">
        <f>SUM(M250:M253)</f>
        <v>27404.09</v>
      </c>
      <c r="N249" s="58">
        <f t="shared" ca="1" si="58"/>
        <v>12.703546263675134</v>
      </c>
    </row>
    <row r="250" spans="1:14" ht="21.75" customHeight="1" x14ac:dyDescent="0.55000000000000004">
      <c r="A250" s="247"/>
      <c r="B250" s="329"/>
      <c r="C250" s="48"/>
      <c r="D250" s="249"/>
      <c r="E250" s="50"/>
      <c r="F250" s="50"/>
      <c r="G250" s="51" t="s">
        <v>112</v>
      </c>
      <c r="H250" s="52" t="s">
        <v>20</v>
      </c>
      <c r="I250" s="73"/>
      <c r="J250" s="73"/>
      <c r="K250" s="250"/>
      <c r="L250" s="58"/>
      <c r="M250" s="59">
        <v>16200</v>
      </c>
      <c r="N250" s="58"/>
    </row>
    <row r="251" spans="1:14" ht="21.75" customHeight="1" x14ac:dyDescent="0.55000000000000004">
      <c r="A251" s="247"/>
      <c r="B251" s="329"/>
      <c r="C251" s="48"/>
      <c r="D251" s="249"/>
      <c r="E251" s="50"/>
      <c r="F251" s="50"/>
      <c r="G251" s="51" t="s">
        <v>113</v>
      </c>
      <c r="H251" s="52" t="s">
        <v>20</v>
      </c>
      <c r="I251" s="73"/>
      <c r="J251" s="73"/>
      <c r="K251" s="250"/>
      <c r="L251" s="58"/>
      <c r="M251" s="59">
        <v>0</v>
      </c>
      <c r="N251" s="58"/>
    </row>
    <row r="252" spans="1:14" ht="21.75" customHeight="1" x14ac:dyDescent="0.55000000000000004">
      <c r="A252" s="247"/>
      <c r="B252" s="329"/>
      <c r="C252" s="48"/>
      <c r="D252" s="249"/>
      <c r="E252" s="50"/>
      <c r="F252" s="50"/>
      <c r="G252" s="51" t="s">
        <v>114</v>
      </c>
      <c r="H252" s="52" t="s">
        <v>20</v>
      </c>
      <c r="I252" s="73"/>
      <c r="J252" s="73"/>
      <c r="K252" s="250"/>
      <c r="L252" s="58"/>
      <c r="M252" s="59">
        <v>0</v>
      </c>
      <c r="N252" s="58"/>
    </row>
    <row r="253" spans="1:14" ht="21.75" customHeight="1" x14ac:dyDescent="0.55000000000000004">
      <c r="A253" s="247"/>
      <c r="B253" s="329"/>
      <c r="C253" s="48"/>
      <c r="D253" s="249"/>
      <c r="E253" s="50"/>
      <c r="F253" s="50"/>
      <c r="G253" s="51" t="s">
        <v>115</v>
      </c>
      <c r="H253" s="52" t="s">
        <v>20</v>
      </c>
      <c r="I253" s="73"/>
      <c r="J253" s="73"/>
      <c r="K253" s="250"/>
      <c r="L253" s="58"/>
      <c r="M253" s="59">
        <v>11204.09</v>
      </c>
      <c r="N253" s="58"/>
    </row>
    <row r="254" spans="1:14" ht="21.75" customHeight="1" x14ac:dyDescent="0.55000000000000004">
      <c r="A254" s="60"/>
      <c r="B254" s="67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55000000000000004">
      <c r="A255" s="60"/>
      <c r="B255" s="67"/>
      <c r="C255" s="67"/>
      <c r="D255" s="68">
        <v>1</v>
      </c>
      <c r="E255" s="69" t="s">
        <v>26</v>
      </c>
      <c r="F255" s="70"/>
      <c r="G255" s="71"/>
      <c r="H255" s="72"/>
      <c r="I255" s="73"/>
      <c r="J255" s="74">
        <v>0</v>
      </c>
      <c r="K255" s="54"/>
      <c r="L255" s="66"/>
      <c r="M255" s="66"/>
      <c r="N255" s="66"/>
    </row>
    <row r="256" spans="1:14" ht="21.75" customHeight="1" x14ac:dyDescent="0.55000000000000004">
      <c r="A256" s="60"/>
      <c r="B256" s="67"/>
      <c r="C256" s="67"/>
      <c r="D256" s="75">
        <v>2</v>
      </c>
      <c r="E256" s="76" t="s">
        <v>27</v>
      </c>
      <c r="F256" s="77"/>
      <c r="G256" s="78"/>
      <c r="H256" s="72"/>
      <c r="I256" s="73"/>
      <c r="J256" s="74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55000000000000004">
      <c r="A257" s="60"/>
      <c r="B257" s="67"/>
      <c r="C257" s="67"/>
      <c r="D257" s="61"/>
      <c r="E257" s="79" t="s">
        <v>28</v>
      </c>
      <c r="F257" s="80"/>
      <c r="G257" s="81"/>
      <c r="H257" s="72"/>
      <c r="I257" s="73"/>
      <c r="J257" s="74">
        <v>1</v>
      </c>
      <c r="K257" s="54"/>
      <c r="L257" s="66"/>
      <c r="M257" s="66"/>
      <c r="N257" s="66"/>
    </row>
    <row r="258" spans="1:14" ht="21.75" customHeight="1" x14ac:dyDescent="0.55000000000000004">
      <c r="A258" s="60"/>
      <c r="B258" s="67"/>
      <c r="C258" s="67"/>
      <c r="D258" s="61"/>
      <c r="E258" s="79" t="s">
        <v>29</v>
      </c>
      <c r="F258" s="80"/>
      <c r="G258" s="81"/>
      <c r="H258" s="72"/>
      <c r="I258" s="73"/>
      <c r="J258" s="74">
        <v>0</v>
      </c>
      <c r="K258" s="54"/>
      <c r="L258" s="66"/>
      <c r="M258" s="66"/>
      <c r="N258" s="66"/>
    </row>
    <row r="259" spans="1:14" ht="21.75" hidden="1" customHeight="1" x14ac:dyDescent="0.55000000000000004">
      <c r="A259" s="60"/>
      <c r="B259" s="67"/>
      <c r="C259" s="67"/>
      <c r="D259" s="61"/>
      <c r="E259" s="82"/>
      <c r="F259" s="79" t="s">
        <v>50</v>
      </c>
      <c r="G259" s="81"/>
      <c r="H259" s="65"/>
      <c r="I259" s="73"/>
      <c r="J259" s="73">
        <f>+J260+J263+J268</f>
        <v>10</v>
      </c>
      <c r="K259" s="54"/>
      <c r="L259" s="66"/>
      <c r="M259" s="66"/>
      <c r="N259" s="66"/>
    </row>
    <row r="260" spans="1:14" ht="21.75" hidden="1" customHeight="1" x14ac:dyDescent="0.55000000000000004">
      <c r="A260" s="60"/>
      <c r="B260" s="67"/>
      <c r="C260" s="67"/>
      <c r="D260" s="61"/>
      <c r="E260" s="82"/>
      <c r="F260" s="80"/>
      <c r="G260" s="105" t="s">
        <v>116</v>
      </c>
      <c r="H260" s="65" t="s">
        <v>16</v>
      </c>
      <c r="I260" s="73">
        <f ca="1">IFERROR(__xludf.DUMMYFUNCTION("IMPORTRANGE(""https://docs.google.com/spreadsheets/d/1C3CXT74ZlgGe6_JY_1olB1XN4rF0dxEuIIF-xsYjHgg/edit?usp=sharing"",""งบกองทุน!f86"")"),0)</f>
        <v>0</v>
      </c>
      <c r="J260" s="73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55000000000000004">
      <c r="A261" s="60"/>
      <c r="B261" s="67"/>
      <c r="C261" s="67"/>
      <c r="D261" s="61"/>
      <c r="E261" s="82"/>
      <c r="F261" s="80"/>
      <c r="G261" s="81" t="s">
        <v>117</v>
      </c>
      <c r="H261" s="65"/>
      <c r="I261" s="53"/>
      <c r="J261" s="73"/>
      <c r="K261" s="54"/>
      <c r="L261" s="66"/>
      <c r="M261" s="66"/>
      <c r="N261" s="66"/>
    </row>
    <row r="262" spans="1:14" ht="21.75" hidden="1" customHeight="1" x14ac:dyDescent="0.55000000000000004">
      <c r="A262" s="60"/>
      <c r="B262" s="67"/>
      <c r="C262" s="67"/>
      <c r="D262" s="61"/>
      <c r="E262" s="82"/>
      <c r="F262" s="80"/>
      <c r="G262" s="105" t="s">
        <v>118</v>
      </c>
      <c r="H262" s="72" t="s">
        <v>103</v>
      </c>
      <c r="I262" s="73">
        <f t="shared" ref="I262:J262" ca="1" si="60">SUM(I264,I266)</f>
        <v>20</v>
      </c>
      <c r="J262" s="73">
        <f t="shared" si="60"/>
        <v>0</v>
      </c>
      <c r="K262" s="54">
        <f t="shared" ref="K262:K268" ca="1" si="61">IF(I262&gt;0,J262*100/I262,0)</f>
        <v>0</v>
      </c>
      <c r="L262" s="66"/>
      <c r="M262" s="66"/>
      <c r="N262" s="66"/>
    </row>
    <row r="263" spans="1:14" ht="21.75" customHeight="1" x14ac:dyDescent="0.55000000000000004">
      <c r="A263" s="60"/>
      <c r="B263" s="61"/>
      <c r="C263" s="67"/>
      <c r="D263" s="61"/>
      <c r="E263" s="82"/>
      <c r="F263" s="105" t="s">
        <v>119</v>
      </c>
      <c r="G263" s="81"/>
      <c r="H263" s="72" t="s">
        <v>16</v>
      </c>
      <c r="I263" s="53">
        <f ca="1">IFERROR(__xludf.DUMMYFUNCTION("IMPORTRANGE(""https://docs.google.com/spreadsheets/d/1C3CXT74ZlgGe6_JY_1olB1XN4rF0dxEuIIF-xsYjHgg/edit?usp=sharing"",""งบกองทุน!H86"")"),10)</f>
        <v>10</v>
      </c>
      <c r="J263" s="73">
        <f>J267</f>
        <v>10</v>
      </c>
      <c r="K263" s="54">
        <f t="shared" ca="1" si="61"/>
        <v>100</v>
      </c>
      <c r="L263" s="66"/>
      <c r="M263" s="66"/>
      <c r="N263" s="66"/>
    </row>
    <row r="264" spans="1:14" ht="21.75" hidden="1" customHeight="1" x14ac:dyDescent="0.55000000000000004">
      <c r="A264" s="60"/>
      <c r="B264" s="61"/>
      <c r="C264" s="67"/>
      <c r="D264" s="61"/>
      <c r="E264" s="82"/>
      <c r="F264" s="80"/>
      <c r="G264" s="81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IFERROR(__xludf.DUMMYFUNCTION("IMPORTRANGE(""https://docs.google.com/spreadsheets/d/1C3CXT74ZlgGe6_JY_1olB1XN4rF0dxEuIIF-xsYjHgg/edit?usp=sharing"",""งบกองทุน!i86"")"),0)</f>
        <v>0</v>
      </c>
      <c r="J264" s="74">
        <v>0</v>
      </c>
      <c r="K264" s="54">
        <f t="shared" ca="1" si="61"/>
        <v>0</v>
      </c>
      <c r="L264" s="66"/>
      <c r="M264" s="66"/>
      <c r="N264" s="66"/>
    </row>
    <row r="265" spans="1:14" ht="21.75" customHeight="1" x14ac:dyDescent="0.55000000000000004">
      <c r="A265" s="60"/>
      <c r="B265" s="61"/>
      <c r="C265" s="67"/>
      <c r="D265" s="61"/>
      <c r="E265" s="82"/>
      <c r="F265" s="80"/>
      <c r="G265" s="105" t="s">
        <v>120</v>
      </c>
      <c r="H265" s="65" t="s">
        <v>16</v>
      </c>
      <c r="I265" s="53">
        <f ca="1">I263</f>
        <v>10</v>
      </c>
      <c r="J265" s="74">
        <v>10</v>
      </c>
      <c r="K265" s="54">
        <f t="shared" ca="1" si="61"/>
        <v>100</v>
      </c>
      <c r="L265" s="66"/>
      <c r="M265" s="66"/>
      <c r="N265" s="66"/>
    </row>
    <row r="266" spans="1:14" ht="21.75" hidden="1" customHeight="1" x14ac:dyDescent="0.55000000000000004">
      <c r="A266" s="60"/>
      <c r="B266" s="61"/>
      <c r="C266" s="67"/>
      <c r="D266" s="61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IFERROR(__xludf.DUMMYFUNCTION("IMPORTRANGE(""https://docs.google.com/spreadsheets/d/1C3CXT74ZlgGe6_JY_1olB1XN4rF0dxEuIIF-xsYjHgg/edit?usp=sharing"",""งบกองทุน!k86"")"),20)</f>
        <v>20</v>
      </c>
      <c r="J266" s="74">
        <v>0</v>
      </c>
      <c r="K266" s="54">
        <f t="shared" ca="1" si="61"/>
        <v>0</v>
      </c>
      <c r="L266" s="66"/>
      <c r="M266" s="66"/>
      <c r="N266" s="66"/>
    </row>
    <row r="267" spans="1:14" ht="21.75" customHeight="1" x14ac:dyDescent="0.55000000000000004">
      <c r="A267" s="60"/>
      <c r="B267" s="61"/>
      <c r="C267" s="67"/>
      <c r="D267" s="61"/>
      <c r="E267" s="82"/>
      <c r="F267" s="80"/>
      <c r="G267" s="105" t="s">
        <v>121</v>
      </c>
      <c r="H267" s="65" t="s">
        <v>16</v>
      </c>
      <c r="I267" s="53">
        <f ca="1">I263</f>
        <v>10</v>
      </c>
      <c r="J267" s="74">
        <v>10</v>
      </c>
      <c r="K267" s="54">
        <f t="shared" ca="1" si="61"/>
        <v>100</v>
      </c>
      <c r="L267" s="66"/>
      <c r="M267" s="66"/>
      <c r="N267" s="66"/>
    </row>
    <row r="268" spans="1:14" ht="21.75" hidden="1" customHeight="1" x14ac:dyDescent="0.55000000000000004">
      <c r="A268" s="60"/>
      <c r="B268" s="67"/>
      <c r="C268" s="67"/>
      <c r="D268" s="61"/>
      <c r="E268" s="82"/>
      <c r="F268" s="80"/>
      <c r="G268" s="105" t="s">
        <v>122</v>
      </c>
      <c r="H268" s="65" t="s">
        <v>16</v>
      </c>
      <c r="I268" s="73">
        <f ca="1">IFERROR(__xludf.DUMMYFUNCTION("IMPORTRANGE(""https://docs.google.com/spreadsheets/d/1C3CXT74ZlgGe6_JY_1olB1XN4rF0dxEuIIF-xsYjHgg/edit?usp=sharing"",""งบกองทุน!m86"")"),0)</f>
        <v>0</v>
      </c>
      <c r="J268" s="73">
        <v>0</v>
      </c>
      <c r="K268" s="54">
        <f t="shared" ca="1" si="61"/>
        <v>0</v>
      </c>
      <c r="L268" s="66"/>
      <c r="M268" s="66"/>
      <c r="N268" s="66"/>
    </row>
    <row r="269" spans="1:14" ht="21.75" hidden="1" customHeight="1" x14ac:dyDescent="0.55000000000000004">
      <c r="A269" s="60"/>
      <c r="B269" s="67"/>
      <c r="C269" s="67"/>
      <c r="D269" s="61"/>
      <c r="E269" s="82"/>
      <c r="F269" s="80"/>
      <c r="G269" s="81" t="s">
        <v>123</v>
      </c>
      <c r="H269" s="65"/>
      <c r="I269" s="73"/>
      <c r="J269" s="73"/>
      <c r="K269" s="54"/>
      <c r="L269" s="66"/>
      <c r="M269" s="66"/>
      <c r="N269" s="66"/>
    </row>
    <row r="270" spans="1:14" ht="21.75" customHeight="1" x14ac:dyDescent="0.55000000000000004">
      <c r="A270" s="60"/>
      <c r="B270" s="67"/>
      <c r="C270" s="67"/>
      <c r="D270" s="61"/>
      <c r="E270" s="80"/>
      <c r="F270" s="79" t="s">
        <v>34</v>
      </c>
      <c r="G270" s="81"/>
      <c r="H270" s="72" t="s">
        <v>103</v>
      </c>
      <c r="I270" s="73">
        <f t="shared" ref="I270:J270" ca="1" si="62">SUM(I271:I272)</f>
        <v>20</v>
      </c>
      <c r="J270" s="73">
        <f t="shared" si="62"/>
        <v>20</v>
      </c>
      <c r="K270" s="54">
        <f t="shared" ref="K270:K272" ca="1" si="63">IF(I270&gt;0,J270*100/I270,0)</f>
        <v>100</v>
      </c>
      <c r="L270" s="66"/>
      <c r="M270" s="66"/>
      <c r="N270" s="66"/>
    </row>
    <row r="271" spans="1:14" ht="21.75" customHeight="1" x14ac:dyDescent="0.55000000000000004">
      <c r="A271" s="60"/>
      <c r="B271" s="67"/>
      <c r="C271" s="67"/>
      <c r="D271" s="61"/>
      <c r="E271" s="80"/>
      <c r="F271" s="80"/>
      <c r="G271" s="81" t="s">
        <v>124</v>
      </c>
      <c r="H271" s="72" t="s">
        <v>103</v>
      </c>
      <c r="I271" s="73">
        <f ca="1">IFERROR(__xludf.DUMMYFUNCTION("IMPORTRANGE(""https://docs.google.com/spreadsheets/d/1C3CXT74ZlgGe6_JY_1olB1XN4rF0dxEuIIF-xsYjHgg/edit?usp=sharing"",""งบกองทุน!o86"")"),20)</f>
        <v>20</v>
      </c>
      <c r="J271" s="74">
        <v>20</v>
      </c>
      <c r="K271" s="54">
        <f t="shared" ca="1" si="63"/>
        <v>100</v>
      </c>
      <c r="L271" s="66"/>
      <c r="M271" s="66"/>
      <c r="N271" s="66"/>
    </row>
    <row r="272" spans="1:14" ht="21.75" customHeight="1" x14ac:dyDescent="0.55000000000000004">
      <c r="A272" s="60"/>
      <c r="B272" s="67"/>
      <c r="C272" s="67"/>
      <c r="D272" s="61"/>
      <c r="E272" s="80"/>
      <c r="F272" s="80"/>
      <c r="G272" s="81" t="s">
        <v>125</v>
      </c>
      <c r="H272" s="72" t="s">
        <v>103</v>
      </c>
      <c r="I272" s="73">
        <f ca="1">IFERROR(__xludf.DUMMYFUNCTION("IMPORTRANGE(""https://docs.google.com/spreadsheets/d/1C3CXT74ZlgGe6_JY_1olB1XN4rF0dxEuIIF-xsYjHgg/edit?usp=sharing"",""งบกองทุน!p86"")"),0)</f>
        <v>0</v>
      </c>
      <c r="J272" s="74">
        <v>0</v>
      </c>
      <c r="K272" s="54">
        <f t="shared" ca="1" si="63"/>
        <v>0</v>
      </c>
      <c r="L272" s="66"/>
      <c r="M272" s="66"/>
      <c r="N272" s="66"/>
    </row>
    <row r="273" spans="1:14" ht="21.75" customHeight="1" x14ac:dyDescent="0.55000000000000004">
      <c r="A273" s="60"/>
      <c r="B273" s="67"/>
      <c r="C273" s="67"/>
      <c r="D273" s="61"/>
      <c r="E273" s="79" t="s">
        <v>35</v>
      </c>
      <c r="F273" s="80"/>
      <c r="G273" s="81"/>
      <c r="H273" s="72"/>
      <c r="I273" s="73"/>
      <c r="J273" s="74">
        <v>0</v>
      </c>
      <c r="K273" s="54"/>
      <c r="L273" s="66"/>
      <c r="M273" s="66"/>
      <c r="N273" s="66"/>
    </row>
    <row r="274" spans="1:14" ht="21.75" customHeight="1" x14ac:dyDescent="0.55000000000000004">
      <c r="A274" s="60"/>
      <c r="B274" s="67"/>
      <c r="C274" s="67"/>
      <c r="D274" s="86">
        <v>3</v>
      </c>
      <c r="E274" s="87" t="s">
        <v>36</v>
      </c>
      <c r="F274" s="88"/>
      <c r="G274" s="89"/>
      <c r="H274" s="72"/>
      <c r="I274" s="73"/>
      <c r="J274" s="90">
        <v>0</v>
      </c>
      <c r="K274" s="54"/>
      <c r="L274" s="66"/>
      <c r="M274" s="66"/>
      <c r="N274" s="66"/>
    </row>
    <row r="275" spans="1:14" ht="21.75" customHeight="1" x14ac:dyDescent="0.55000000000000004">
      <c r="A275" s="239"/>
      <c r="B275" s="256">
        <v>2</v>
      </c>
      <c r="C275" s="241" t="s">
        <v>126</v>
      </c>
      <c r="D275" s="241"/>
      <c r="E275" s="251"/>
      <c r="F275" s="251"/>
      <c r="G275" s="252"/>
      <c r="H275" s="243" t="s">
        <v>103</v>
      </c>
      <c r="I275" s="244">
        <f ca="1">I292</f>
        <v>50</v>
      </c>
      <c r="J275" s="244">
        <f>+J292</f>
        <v>0</v>
      </c>
      <c r="K275" s="245">
        <f t="shared" ref="K275:K276" ca="1" si="64">IF(I275&gt;0,J275*100/I275,0)</f>
        <v>0</v>
      </c>
      <c r="L275" s="246">
        <f t="shared" ref="L275:M275" ca="1" si="65">SUM(L277:L278)</f>
        <v>87710</v>
      </c>
      <c r="M275" s="246">
        <f t="shared" si="65"/>
        <v>0</v>
      </c>
      <c r="N275" s="246">
        <f ca="1">+IF(L275&gt;0,M275*100/L275,0)</f>
        <v>0</v>
      </c>
    </row>
    <row r="276" spans="1:14" ht="21.75" customHeight="1" x14ac:dyDescent="0.55000000000000004">
      <c r="A276" s="239"/>
      <c r="B276" s="256"/>
      <c r="C276" s="241"/>
      <c r="D276" s="253"/>
      <c r="E276" s="254"/>
      <c r="F276" s="254"/>
      <c r="G276" s="255"/>
      <c r="H276" s="243" t="s">
        <v>16</v>
      </c>
      <c r="I276" s="244">
        <f ca="1">I291</f>
        <v>5</v>
      </c>
      <c r="J276" s="244">
        <f>+J291</f>
        <v>0</v>
      </c>
      <c r="K276" s="245">
        <f t="shared" ca="1" si="64"/>
        <v>0</v>
      </c>
      <c r="L276" s="246"/>
      <c r="M276" s="246"/>
      <c r="N276" s="246"/>
    </row>
    <row r="277" spans="1:14" ht="21.75" customHeight="1" x14ac:dyDescent="0.55000000000000004">
      <c r="A277" s="46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6">+IF(L277&gt;0,M277*100/L277,0)</f>
        <v>0</v>
      </c>
    </row>
    <row r="278" spans="1:14" ht="21.75" customHeight="1" x14ac:dyDescent="0.55000000000000004">
      <c r="A278" s="46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7">SUM(L279:L280)</f>
        <v>87710</v>
      </c>
      <c r="M278" s="55">
        <f t="shared" si="67"/>
        <v>0</v>
      </c>
      <c r="N278" s="55">
        <f t="shared" ca="1" si="66"/>
        <v>0</v>
      </c>
    </row>
    <row r="279" spans="1:14" ht="21.75" customHeight="1" x14ac:dyDescent="0.55000000000000004">
      <c r="A279" s="46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IFERROR(__xludf.DUMMYFUNCTION("IMPORTRANGE(""https://docs.google.com/spreadsheets/d/1C3CXT74ZlgGe6_JY_1olB1XN4rF0dxEuIIF-xsYjHgg/edit?usp=sharing"",""งบกองทุน!r86"")"),0)</f>
        <v>0</v>
      </c>
      <c r="M279" s="58">
        <v>0</v>
      </c>
      <c r="N279" s="58">
        <f t="shared" ca="1" si="66"/>
        <v>0</v>
      </c>
    </row>
    <row r="280" spans="1:14" ht="21.75" customHeight="1" x14ac:dyDescent="0.55000000000000004">
      <c r="A280" s="46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IFERROR(__xludf.DUMMYFUNCTION("IMPORTRANGE(""https://docs.google.com/spreadsheets/d/1C3CXT74ZlgGe6_JY_1olB1XN4rF0dxEuIIF-xsYjHgg/edit?usp=sharing"",""งบกองทุน!s86"")"),87710)</f>
        <v>87710</v>
      </c>
      <c r="M280" s="58">
        <f>SUM(M281:M284)</f>
        <v>0</v>
      </c>
      <c r="N280" s="58">
        <f t="shared" ca="1" si="66"/>
        <v>0</v>
      </c>
    </row>
    <row r="281" spans="1:14" ht="21.75" customHeight="1" x14ac:dyDescent="0.55000000000000004">
      <c r="A281" s="247"/>
      <c r="B281" s="329"/>
      <c r="C281" s="48"/>
      <c r="D281" s="249"/>
      <c r="E281" s="50"/>
      <c r="F281" s="50"/>
      <c r="G281" s="51" t="s">
        <v>112</v>
      </c>
      <c r="H281" s="52" t="s">
        <v>20</v>
      </c>
      <c r="I281" s="73"/>
      <c r="J281" s="73"/>
      <c r="K281" s="250"/>
      <c r="L281" s="58"/>
      <c r="M281" s="59">
        <v>0</v>
      </c>
      <c r="N281" s="58"/>
    </row>
    <row r="282" spans="1:14" ht="21.75" customHeight="1" x14ac:dyDescent="0.55000000000000004">
      <c r="A282" s="247"/>
      <c r="B282" s="329"/>
      <c r="C282" s="48"/>
      <c r="D282" s="249"/>
      <c r="E282" s="50"/>
      <c r="F282" s="50"/>
      <c r="G282" s="51" t="s">
        <v>113</v>
      </c>
      <c r="H282" s="52" t="s">
        <v>20</v>
      </c>
      <c r="I282" s="73"/>
      <c r="J282" s="73"/>
      <c r="K282" s="250"/>
      <c r="L282" s="58"/>
      <c r="M282" s="59">
        <v>0</v>
      </c>
      <c r="N282" s="58"/>
    </row>
    <row r="283" spans="1:14" ht="21.75" customHeight="1" x14ac:dyDescent="0.55000000000000004">
      <c r="A283" s="247"/>
      <c r="B283" s="329"/>
      <c r="C283" s="48"/>
      <c r="D283" s="249"/>
      <c r="E283" s="50"/>
      <c r="F283" s="50"/>
      <c r="G283" s="51" t="s">
        <v>114</v>
      </c>
      <c r="H283" s="52" t="s">
        <v>20</v>
      </c>
      <c r="I283" s="73"/>
      <c r="J283" s="73"/>
      <c r="K283" s="250"/>
      <c r="L283" s="58"/>
      <c r="M283" s="59">
        <v>0</v>
      </c>
      <c r="N283" s="58"/>
    </row>
    <row r="284" spans="1:14" ht="21.75" customHeight="1" x14ac:dyDescent="0.55000000000000004">
      <c r="A284" s="247"/>
      <c r="B284" s="329"/>
      <c r="C284" s="48"/>
      <c r="D284" s="249"/>
      <c r="E284" s="50"/>
      <c r="F284" s="50"/>
      <c r="G284" s="51" t="s">
        <v>115</v>
      </c>
      <c r="H284" s="52" t="s">
        <v>20</v>
      </c>
      <c r="I284" s="73"/>
      <c r="J284" s="73"/>
      <c r="K284" s="250"/>
      <c r="L284" s="58"/>
      <c r="M284" s="59">
        <v>0</v>
      </c>
      <c r="N284" s="58"/>
    </row>
    <row r="285" spans="1:14" ht="21.75" customHeight="1" x14ac:dyDescent="0.55000000000000004">
      <c r="A285" s="60"/>
      <c r="B285" s="67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55000000000000004">
      <c r="A286" s="60"/>
      <c r="B286" s="67"/>
      <c r="C286" s="67"/>
      <c r="D286" s="68">
        <v>1</v>
      </c>
      <c r="E286" s="69" t="s">
        <v>26</v>
      </c>
      <c r="F286" s="70"/>
      <c r="G286" s="71"/>
      <c r="H286" s="72"/>
      <c r="I286" s="73"/>
      <c r="J286" s="74">
        <v>0</v>
      </c>
      <c r="K286" s="54"/>
      <c r="L286" s="66"/>
      <c r="M286" s="66"/>
      <c r="N286" s="66"/>
    </row>
    <row r="287" spans="1:14" ht="21.75" customHeight="1" x14ac:dyDescent="0.55000000000000004">
      <c r="A287" s="60"/>
      <c r="B287" s="67"/>
      <c r="C287" s="67"/>
      <c r="D287" s="75">
        <v>2</v>
      </c>
      <c r="E287" s="76" t="s">
        <v>27</v>
      </c>
      <c r="F287" s="77"/>
      <c r="G287" s="78"/>
      <c r="H287" s="72"/>
      <c r="I287" s="73"/>
      <c r="J287" s="74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55000000000000004">
      <c r="A288" s="60"/>
      <c r="B288" s="67"/>
      <c r="C288" s="67"/>
      <c r="D288" s="61"/>
      <c r="E288" s="79" t="s">
        <v>28</v>
      </c>
      <c r="F288" s="80"/>
      <c r="G288" s="81"/>
      <c r="H288" s="72"/>
      <c r="I288" s="73"/>
      <c r="J288" s="74">
        <v>0</v>
      </c>
      <c r="K288" s="54"/>
      <c r="L288" s="66"/>
      <c r="M288" s="66"/>
      <c r="N288" s="66"/>
    </row>
    <row r="289" spans="1:14" ht="21.75" customHeight="1" x14ac:dyDescent="0.55000000000000004">
      <c r="A289" s="60"/>
      <c r="B289" s="67"/>
      <c r="C289" s="67"/>
      <c r="D289" s="61"/>
      <c r="E289" s="79" t="s">
        <v>29</v>
      </c>
      <c r="F289" s="80"/>
      <c r="G289" s="81"/>
      <c r="H289" s="72"/>
      <c r="I289" s="73"/>
      <c r="J289" s="74">
        <v>0</v>
      </c>
      <c r="K289" s="54"/>
      <c r="L289" s="66"/>
      <c r="M289" s="66"/>
      <c r="N289" s="66"/>
    </row>
    <row r="290" spans="1:14" ht="21.75" customHeight="1" x14ac:dyDescent="0.55000000000000004">
      <c r="A290" s="60"/>
      <c r="B290" s="67"/>
      <c r="C290" s="67"/>
      <c r="D290" s="61"/>
      <c r="E290" s="82"/>
      <c r="F290" s="79" t="s">
        <v>127</v>
      </c>
      <c r="G290" s="80"/>
      <c r="H290" s="72"/>
      <c r="I290" s="73"/>
      <c r="J290" s="73"/>
      <c r="K290" s="54"/>
      <c r="L290" s="66"/>
      <c r="M290" s="66"/>
      <c r="N290" s="66"/>
    </row>
    <row r="291" spans="1:14" ht="21.75" customHeight="1" x14ac:dyDescent="0.55000000000000004">
      <c r="A291" s="60"/>
      <c r="B291" s="67"/>
      <c r="C291" s="67"/>
      <c r="D291" s="61"/>
      <c r="E291" s="82"/>
      <c r="F291" s="80"/>
      <c r="G291" s="105" t="s">
        <v>50</v>
      </c>
      <c r="H291" s="72" t="s">
        <v>16</v>
      </c>
      <c r="I291" s="73">
        <f ca="1">IFERROR(__xludf.DUMMYFUNCTION("IMPORTRANGE(""https://docs.google.com/spreadsheets/d/1C3CXT74ZlgGe6_JY_1olB1XN4rF0dxEuIIF-xsYjHgg/edit?usp=sharing"",""งบกองทุน!v86"")"),5)</f>
        <v>5</v>
      </c>
      <c r="J291" s="74">
        <v>0</v>
      </c>
      <c r="K291" s="54">
        <f t="shared" ref="K291:K293" ca="1" si="68">IF(I291&gt;0,J291*100/I291,0)</f>
        <v>0</v>
      </c>
      <c r="L291" s="66"/>
      <c r="M291" s="66"/>
      <c r="N291" s="66"/>
    </row>
    <row r="292" spans="1:14" ht="21.75" customHeight="1" x14ac:dyDescent="0.55000000000000004">
      <c r="A292" s="60"/>
      <c r="B292" s="67"/>
      <c r="C292" s="67"/>
      <c r="D292" s="61"/>
      <c r="E292" s="82"/>
      <c r="F292" s="80"/>
      <c r="G292" s="81" t="s">
        <v>34</v>
      </c>
      <c r="H292" s="72" t="s">
        <v>103</v>
      </c>
      <c r="I292" s="73">
        <f ca="1">IFERROR(__xludf.DUMMYFUNCTION("IMPORTRANGE(""https://docs.google.com/spreadsheets/d/1C3CXT74ZlgGe6_JY_1olB1XN4rF0dxEuIIF-xsYjHgg/edit?usp=sharing"",""งบกองทุน!w86"")"),50)</f>
        <v>50</v>
      </c>
      <c r="J292" s="74">
        <v>0</v>
      </c>
      <c r="K292" s="54">
        <f t="shared" ca="1" si="68"/>
        <v>0</v>
      </c>
      <c r="L292" s="66"/>
      <c r="M292" s="66"/>
      <c r="N292" s="66"/>
    </row>
    <row r="293" spans="1:14" ht="21.75" customHeight="1" x14ac:dyDescent="0.55000000000000004">
      <c r="A293" s="60"/>
      <c r="B293" s="67"/>
      <c r="C293" s="67"/>
      <c r="D293" s="61"/>
      <c r="E293" s="82"/>
      <c r="F293" s="80"/>
      <c r="G293" s="81"/>
      <c r="H293" s="72" t="s">
        <v>16</v>
      </c>
      <c r="I293" s="73">
        <f ca="1">IFERROR(__xludf.DUMMYFUNCTION("IMPORTRANGE(""https://docs.google.com/spreadsheets/d/1C3CXT74ZlgGe6_JY_1olB1XN4rF0dxEuIIF-xsYjHgg/edit?usp=sharing"",""งบกองทุน!x86"")"),5)</f>
        <v>5</v>
      </c>
      <c r="J293" s="74">
        <v>0</v>
      </c>
      <c r="K293" s="54">
        <f t="shared" ca="1" si="68"/>
        <v>0</v>
      </c>
      <c r="L293" s="66"/>
      <c r="M293" s="66"/>
      <c r="N293" s="66"/>
    </row>
    <row r="294" spans="1:14" ht="21.75" customHeight="1" x14ac:dyDescent="0.55000000000000004">
      <c r="A294" s="60"/>
      <c r="B294" s="67"/>
      <c r="C294" s="67"/>
      <c r="D294" s="61"/>
      <c r="E294" s="79" t="s">
        <v>35</v>
      </c>
      <c r="F294" s="80"/>
      <c r="G294" s="81"/>
      <c r="H294" s="72"/>
      <c r="I294" s="73"/>
      <c r="J294" s="74">
        <v>0</v>
      </c>
      <c r="K294" s="54"/>
      <c r="L294" s="66"/>
      <c r="M294" s="66"/>
      <c r="N294" s="66"/>
    </row>
    <row r="295" spans="1:14" ht="21.75" customHeight="1" x14ac:dyDescent="0.55000000000000004">
      <c r="A295" s="60"/>
      <c r="B295" s="67"/>
      <c r="C295" s="67"/>
      <c r="D295" s="86">
        <v>3</v>
      </c>
      <c r="E295" s="87" t="s">
        <v>36</v>
      </c>
      <c r="F295" s="88"/>
      <c r="G295" s="89"/>
      <c r="H295" s="72"/>
      <c r="I295" s="73"/>
      <c r="J295" s="90">
        <v>0</v>
      </c>
      <c r="K295" s="54"/>
      <c r="L295" s="66"/>
      <c r="M295" s="66"/>
      <c r="N295" s="66"/>
    </row>
    <row r="296" spans="1:14" ht="21.75" customHeight="1" x14ac:dyDescent="0.55000000000000004">
      <c r="A296" s="239"/>
      <c r="B296" s="256">
        <v>3</v>
      </c>
      <c r="C296" s="256" t="s">
        <v>128</v>
      </c>
      <c r="D296" s="241"/>
      <c r="E296" s="241"/>
      <c r="F296" s="241"/>
      <c r="G296" s="242"/>
      <c r="H296" s="243" t="s">
        <v>103</v>
      </c>
      <c r="I296" s="244">
        <f ca="1">SUM(I313,I317,I322)</f>
        <v>105</v>
      </c>
      <c r="J296" s="244">
        <f>J313+J317+J322</f>
        <v>45</v>
      </c>
      <c r="K296" s="245">
        <f t="shared" ref="K296:K297" ca="1" si="69">IF(I296&gt;0,J296*100/I296,0)</f>
        <v>42.857142857142854</v>
      </c>
      <c r="L296" s="246">
        <f t="shared" ref="L296:M296" ca="1" si="70">SUM(L298:L299)</f>
        <v>131710</v>
      </c>
      <c r="M296" s="246">
        <f t="shared" si="70"/>
        <v>23540</v>
      </c>
      <c r="N296" s="246">
        <f ca="1">+IF(L296&gt;0,M296*100/L296,0)</f>
        <v>17.872598891504062</v>
      </c>
    </row>
    <row r="297" spans="1:14" ht="21.75" customHeight="1" x14ac:dyDescent="0.55000000000000004">
      <c r="A297" s="239"/>
      <c r="B297" s="256"/>
      <c r="C297" s="256"/>
      <c r="D297" s="253"/>
      <c r="E297" s="253"/>
      <c r="F297" s="253"/>
      <c r="G297" s="257"/>
      <c r="H297" s="243" t="s">
        <v>16</v>
      </c>
      <c r="I297" s="244">
        <f ca="1">SUM(I312,I316,I321)</f>
        <v>35</v>
      </c>
      <c r="J297" s="244">
        <f ca="1">J311</f>
        <v>15</v>
      </c>
      <c r="K297" s="245">
        <f t="shared" ca="1" si="69"/>
        <v>42.857142857142854</v>
      </c>
      <c r="L297" s="246"/>
      <c r="M297" s="246"/>
      <c r="N297" s="246"/>
    </row>
    <row r="298" spans="1:14" ht="21.75" customHeight="1" x14ac:dyDescent="0.55000000000000004">
      <c r="A298" s="46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1">+IF(L298&gt;0,M298*100/L298,0)</f>
        <v>0</v>
      </c>
    </row>
    <row r="299" spans="1:14" ht="21.75" customHeight="1" x14ac:dyDescent="0.55000000000000004">
      <c r="A299" s="46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2">SUM(L300:L301)</f>
        <v>131710</v>
      </c>
      <c r="M299" s="58">
        <f t="shared" si="72"/>
        <v>23540</v>
      </c>
      <c r="N299" s="58">
        <f t="shared" ca="1" si="71"/>
        <v>17.872598891504062</v>
      </c>
    </row>
    <row r="300" spans="1:14" ht="21.75" customHeight="1" x14ac:dyDescent="0.55000000000000004">
      <c r="A300" s="46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IFERROR(__xludf.DUMMYFUNCTION("IMPORTRANGE(""https://docs.google.com/spreadsheets/d/1C3CXT74ZlgGe6_JY_1olB1XN4rF0dxEuIIF-xsYjHgg/edit?usp=sharing"",""งบกองทุน!z86"")"),0)</f>
        <v>0</v>
      </c>
      <c r="M300" s="58">
        <v>0</v>
      </c>
      <c r="N300" s="58">
        <f t="shared" ca="1" si="71"/>
        <v>0</v>
      </c>
    </row>
    <row r="301" spans="1:14" ht="21.75" customHeight="1" x14ac:dyDescent="0.55000000000000004">
      <c r="A301" s="46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IFERROR(__xludf.DUMMYFUNCTION("IMPORTRANGE(""https://docs.google.com/spreadsheets/d/1C3CXT74ZlgGe6_JY_1olB1XN4rF0dxEuIIF-xsYjHgg/edit?usp=sharing"",""งบกองทุน!aa86"")"),131710)</f>
        <v>131710</v>
      </c>
      <c r="M301" s="58">
        <f>SUM(M302:M305)</f>
        <v>23540</v>
      </c>
      <c r="N301" s="58">
        <f t="shared" ca="1" si="71"/>
        <v>17.872598891504062</v>
      </c>
    </row>
    <row r="302" spans="1:14" ht="21.75" customHeight="1" x14ac:dyDescent="0.55000000000000004">
      <c r="A302" s="247"/>
      <c r="B302" s="329"/>
      <c r="C302" s="48"/>
      <c r="D302" s="249"/>
      <c r="E302" s="50"/>
      <c r="F302" s="50"/>
      <c r="G302" s="51" t="s">
        <v>112</v>
      </c>
      <c r="H302" s="52" t="s">
        <v>20</v>
      </c>
      <c r="I302" s="73"/>
      <c r="J302" s="73"/>
      <c r="K302" s="250"/>
      <c r="L302" s="58"/>
      <c r="M302" s="59">
        <v>11890</v>
      </c>
      <c r="N302" s="58"/>
    </row>
    <row r="303" spans="1:14" ht="21.75" customHeight="1" x14ac:dyDescent="0.55000000000000004">
      <c r="A303" s="247"/>
      <c r="B303" s="329"/>
      <c r="C303" s="48"/>
      <c r="D303" s="249"/>
      <c r="E303" s="50"/>
      <c r="F303" s="50"/>
      <c r="G303" s="51" t="s">
        <v>113</v>
      </c>
      <c r="H303" s="52" t="s">
        <v>20</v>
      </c>
      <c r="I303" s="73"/>
      <c r="J303" s="73"/>
      <c r="K303" s="250"/>
      <c r="L303" s="58"/>
      <c r="M303" s="59">
        <v>0</v>
      </c>
      <c r="N303" s="58"/>
    </row>
    <row r="304" spans="1:14" ht="21.75" customHeight="1" x14ac:dyDescent="0.55000000000000004">
      <c r="A304" s="247"/>
      <c r="B304" s="329"/>
      <c r="C304" s="48"/>
      <c r="D304" s="249"/>
      <c r="E304" s="50"/>
      <c r="F304" s="50"/>
      <c r="G304" s="51" t="s">
        <v>114</v>
      </c>
      <c r="H304" s="52" t="s">
        <v>20</v>
      </c>
      <c r="I304" s="73"/>
      <c r="J304" s="73"/>
      <c r="K304" s="250"/>
      <c r="L304" s="58"/>
      <c r="M304" s="59">
        <v>0</v>
      </c>
      <c r="N304" s="58"/>
    </row>
    <row r="305" spans="1:14" ht="21.75" customHeight="1" x14ac:dyDescent="0.55000000000000004">
      <c r="A305" s="247"/>
      <c r="B305" s="329"/>
      <c r="C305" s="48"/>
      <c r="D305" s="249"/>
      <c r="E305" s="50"/>
      <c r="F305" s="50"/>
      <c r="G305" s="51" t="s">
        <v>115</v>
      </c>
      <c r="H305" s="52" t="s">
        <v>20</v>
      </c>
      <c r="I305" s="73"/>
      <c r="J305" s="73"/>
      <c r="K305" s="250"/>
      <c r="L305" s="58"/>
      <c r="M305" s="59">
        <v>11650</v>
      </c>
      <c r="N305" s="58"/>
    </row>
    <row r="306" spans="1:14" ht="21.75" customHeight="1" x14ac:dyDescent="0.55000000000000004">
      <c r="A306" s="60"/>
      <c r="B306" s="67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55000000000000004">
      <c r="A307" s="60"/>
      <c r="B307" s="67"/>
      <c r="C307" s="67"/>
      <c r="D307" s="68">
        <v>1</v>
      </c>
      <c r="E307" s="69" t="s">
        <v>26</v>
      </c>
      <c r="F307" s="70"/>
      <c r="G307" s="71"/>
      <c r="H307" s="72"/>
      <c r="I307" s="73"/>
      <c r="J307" s="74">
        <v>0</v>
      </c>
      <c r="K307" s="54"/>
      <c r="L307" s="66"/>
      <c r="M307" s="66"/>
      <c r="N307" s="66"/>
    </row>
    <row r="308" spans="1:14" ht="21.75" customHeight="1" x14ac:dyDescent="0.55000000000000004">
      <c r="A308" s="60"/>
      <c r="B308" s="67"/>
      <c r="C308" s="67"/>
      <c r="D308" s="75">
        <v>2</v>
      </c>
      <c r="E308" s="76" t="s">
        <v>27</v>
      </c>
      <c r="F308" s="77"/>
      <c r="G308" s="78"/>
      <c r="H308" s="72"/>
      <c r="I308" s="73"/>
      <c r="J308" s="74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55000000000000004">
      <c r="A309" s="60"/>
      <c r="B309" s="67"/>
      <c r="C309" s="67"/>
      <c r="D309" s="61"/>
      <c r="E309" s="79" t="s">
        <v>28</v>
      </c>
      <c r="F309" s="80"/>
      <c r="G309" s="81"/>
      <c r="H309" s="72"/>
      <c r="I309" s="73"/>
      <c r="J309" s="74">
        <v>0</v>
      </c>
      <c r="K309" s="54"/>
      <c r="L309" s="66"/>
      <c r="M309" s="66"/>
      <c r="N309" s="66"/>
    </row>
    <row r="310" spans="1:14" ht="21.75" customHeight="1" x14ac:dyDescent="0.55000000000000004">
      <c r="A310" s="60"/>
      <c r="B310" s="67"/>
      <c r="C310" s="67"/>
      <c r="D310" s="61"/>
      <c r="E310" s="79" t="s">
        <v>29</v>
      </c>
      <c r="F310" s="80"/>
      <c r="G310" s="81"/>
      <c r="H310" s="72"/>
      <c r="I310" s="73"/>
      <c r="J310" s="74">
        <v>0</v>
      </c>
      <c r="K310" s="54"/>
      <c r="L310" s="66"/>
      <c r="M310" s="66"/>
      <c r="N310" s="66"/>
    </row>
    <row r="311" spans="1:14" ht="21.75" customHeight="1" x14ac:dyDescent="0.55000000000000004">
      <c r="A311" s="60"/>
      <c r="B311" s="67"/>
      <c r="C311" s="67"/>
      <c r="D311" s="61"/>
      <c r="E311" s="82"/>
      <c r="F311" s="79" t="s">
        <v>50</v>
      </c>
      <c r="G311" s="258"/>
      <c r="H311" s="259" t="s">
        <v>16</v>
      </c>
      <c r="I311" s="84">
        <f t="shared" ref="I311:J311" ca="1" si="73">+I312+I316+I321</f>
        <v>35</v>
      </c>
      <c r="J311" s="84">
        <f t="shared" ca="1" si="73"/>
        <v>15</v>
      </c>
      <c r="K311" s="85">
        <f t="shared" ref="K311:K322" ca="1" si="74">IF(I311&gt;0,J311*100/I311,0)</f>
        <v>42.857142857142854</v>
      </c>
      <c r="L311" s="66"/>
      <c r="M311" s="66"/>
      <c r="N311" s="66"/>
    </row>
    <row r="312" spans="1:14" ht="21.75" customHeight="1" x14ac:dyDescent="0.55000000000000004">
      <c r="A312" s="60"/>
      <c r="B312" s="67"/>
      <c r="C312" s="67"/>
      <c r="D312" s="61"/>
      <c r="E312" s="82"/>
      <c r="F312" s="260" t="s">
        <v>129</v>
      </c>
      <c r="G312" s="81"/>
      <c r="H312" s="83" t="s">
        <v>16</v>
      </c>
      <c r="I312" s="261">
        <f ca="1">IFERROR(__xludf.DUMMYFUNCTION("IMPORTRANGE(""https://docs.google.com/spreadsheets/d/1C3CXT74ZlgGe6_JY_1olB1XN4rF0dxEuIIF-xsYjHgg/edit?usp=sharing"",""งบกองทุน!ae86"")"),10)</f>
        <v>10</v>
      </c>
      <c r="J312" s="388">
        <f ca="1">IF(AND(J314=I314,J315=I315),I314,0)</f>
        <v>0</v>
      </c>
      <c r="K312" s="85">
        <f t="shared" ca="1" si="74"/>
        <v>0</v>
      </c>
      <c r="L312" s="66"/>
      <c r="M312" s="66"/>
      <c r="N312" s="66"/>
    </row>
    <row r="313" spans="1:14" ht="21.75" customHeight="1" x14ac:dyDescent="0.55000000000000004">
      <c r="A313" s="60"/>
      <c r="B313" s="67"/>
      <c r="C313" s="67"/>
      <c r="D313" s="61"/>
      <c r="E313" s="82"/>
      <c r="F313" s="80"/>
      <c r="G313" s="81"/>
      <c r="H313" s="83" t="s">
        <v>103</v>
      </c>
      <c r="I313" s="261">
        <f ca="1">IFERROR(__xludf.DUMMYFUNCTION("IMPORTRANGE(""https://docs.google.com/spreadsheets/d/1C3CXT74ZlgGe6_JY_1olB1XN4rF0dxEuIIF-xsYjHgg/edit?usp=sharing"",""งบกองทุน!ad86"")"),30)</f>
        <v>30</v>
      </c>
      <c r="J313" s="389">
        <v>0</v>
      </c>
      <c r="K313" s="85">
        <f t="shared" ca="1" si="74"/>
        <v>0</v>
      </c>
      <c r="L313" s="66"/>
      <c r="M313" s="66"/>
      <c r="N313" s="66"/>
    </row>
    <row r="314" spans="1:14" ht="21.75" customHeight="1" x14ac:dyDescent="0.55000000000000004">
      <c r="A314" s="60"/>
      <c r="B314" s="67"/>
      <c r="C314" s="67"/>
      <c r="D314" s="61"/>
      <c r="E314" s="82"/>
      <c r="F314" s="80"/>
      <c r="G314" s="105" t="s">
        <v>130</v>
      </c>
      <c r="H314" s="65" t="s">
        <v>16</v>
      </c>
      <c r="I314" s="214">
        <f ca="1">IFERROR(__xludf.DUMMYFUNCTION("IMPORTRANGE(""https://docs.google.com/spreadsheets/d/1C3CXT74ZlgGe6_JY_1olB1XN4rF0dxEuIIF-xsYjHgg/edit?usp=sharing"",""งบกองทุน!af86"")"),10)</f>
        <v>10</v>
      </c>
      <c r="J314" s="389">
        <v>0</v>
      </c>
      <c r="K314" s="54">
        <f t="shared" ca="1" si="74"/>
        <v>0</v>
      </c>
      <c r="L314" s="66"/>
      <c r="M314" s="66"/>
      <c r="N314" s="66"/>
    </row>
    <row r="315" spans="1:14" ht="21.75" customHeight="1" x14ac:dyDescent="0.55000000000000004">
      <c r="A315" s="112"/>
      <c r="B315" s="114"/>
      <c r="C315" s="114"/>
      <c r="D315" s="113"/>
      <c r="E315" s="262"/>
      <c r="F315" s="219"/>
      <c r="G315" s="263" t="s">
        <v>131</v>
      </c>
      <c r="H315" s="221" t="s">
        <v>16</v>
      </c>
      <c r="I315" s="222">
        <f ca="1">IFERROR(__xludf.DUMMYFUNCTION("IMPORTRANGE(""https://docs.google.com/spreadsheets/d/1C3CXT74ZlgGe6_JY_1olB1XN4rF0dxEuIIF-xsYjHgg/edit?usp=sharing"",""งบกองทุน!ag86"")"),10)</f>
        <v>10</v>
      </c>
      <c r="J315" s="389">
        <v>0</v>
      </c>
      <c r="K315" s="122">
        <f t="shared" ca="1" si="74"/>
        <v>0</v>
      </c>
      <c r="L315" s="123"/>
      <c r="M315" s="123"/>
      <c r="N315" s="123"/>
    </row>
    <row r="316" spans="1:14" ht="21.75" customHeight="1" x14ac:dyDescent="0.55000000000000004">
      <c r="A316" s="60"/>
      <c r="B316" s="67"/>
      <c r="C316" s="67"/>
      <c r="D316" s="61"/>
      <c r="E316" s="82"/>
      <c r="F316" s="260" t="s">
        <v>132</v>
      </c>
      <c r="G316" s="81"/>
      <c r="H316" s="83" t="s">
        <v>16</v>
      </c>
      <c r="I316" s="261">
        <f ca="1">IFERROR(__xludf.DUMMYFUNCTION("IMPORTRANGE(""https://docs.google.com/spreadsheets/d/1C3CXT74ZlgGe6_JY_1olB1XN4rF0dxEuIIF-xsYjHgg/edit?usp=sharing"",""งบกองทุน!ai86"")"),15)</f>
        <v>15</v>
      </c>
      <c r="J316" s="388">
        <f ca="1">IF(AND(J318=I318,J319=I319,J320=I320),I318,0)</f>
        <v>15</v>
      </c>
      <c r="K316" s="85">
        <f t="shared" ca="1" si="74"/>
        <v>100</v>
      </c>
      <c r="L316" s="66"/>
      <c r="M316" s="66"/>
      <c r="N316" s="66"/>
    </row>
    <row r="317" spans="1:14" ht="21.75" customHeight="1" x14ac:dyDescent="0.55000000000000004">
      <c r="A317" s="60"/>
      <c r="B317" s="67"/>
      <c r="C317" s="67"/>
      <c r="D317" s="61"/>
      <c r="E317" s="82"/>
      <c r="F317" s="80"/>
      <c r="G317" s="81"/>
      <c r="H317" s="83" t="s">
        <v>103</v>
      </c>
      <c r="I317" s="261">
        <f ca="1">IFERROR(__xludf.DUMMYFUNCTION("IMPORTRANGE(""https://docs.google.com/spreadsheets/d/1C3CXT74ZlgGe6_JY_1olB1XN4rF0dxEuIIF-xsYjHgg/edit?usp=sharing"",""งบกองทุน!ah86"")"),45)</f>
        <v>45</v>
      </c>
      <c r="J317" s="389">
        <v>45</v>
      </c>
      <c r="K317" s="85">
        <f t="shared" ca="1" si="74"/>
        <v>100</v>
      </c>
      <c r="L317" s="66"/>
      <c r="M317" s="66"/>
      <c r="N317" s="66"/>
    </row>
    <row r="318" spans="1:14" ht="21.75" customHeight="1" x14ac:dyDescent="0.55000000000000004">
      <c r="A318" s="60"/>
      <c r="B318" s="67"/>
      <c r="C318" s="67"/>
      <c r="D318" s="61"/>
      <c r="E318" s="82"/>
      <c r="F318" s="80"/>
      <c r="G318" s="105" t="s">
        <v>133</v>
      </c>
      <c r="H318" s="65" t="s">
        <v>16</v>
      </c>
      <c r="I318" s="214">
        <f ca="1">IFERROR(__xludf.DUMMYFUNCTION("IMPORTRANGE(""https://docs.google.com/spreadsheets/d/1C3CXT74ZlgGe6_JY_1olB1XN4rF0dxEuIIF-xsYjHgg/edit?usp=sharing"",""งบกองทุน!aj86"")"),15)</f>
        <v>15</v>
      </c>
      <c r="J318" s="390">
        <v>15</v>
      </c>
      <c r="K318" s="54">
        <f t="shared" ca="1" si="74"/>
        <v>100</v>
      </c>
      <c r="L318" s="66"/>
      <c r="M318" s="66"/>
      <c r="N318" s="66"/>
    </row>
    <row r="319" spans="1:14" ht="21.75" customHeight="1" x14ac:dyDescent="0.55000000000000004">
      <c r="A319" s="60"/>
      <c r="B319" s="67"/>
      <c r="C319" s="67"/>
      <c r="D319" s="61"/>
      <c r="E319" s="82"/>
      <c r="F319" s="80"/>
      <c r="G319" s="105" t="s">
        <v>134</v>
      </c>
      <c r="H319" s="65" t="s">
        <v>16</v>
      </c>
      <c r="I319" s="214">
        <f ca="1">IFERROR(__xludf.DUMMYFUNCTION("IMPORTRANGE(""https://docs.google.com/spreadsheets/d/1C3CXT74ZlgGe6_JY_1olB1XN4rF0dxEuIIF-xsYjHgg/edit?usp=sharing"",""งบกองทุน!ak86"")"),15)</f>
        <v>15</v>
      </c>
      <c r="J319" s="390">
        <v>15</v>
      </c>
      <c r="K319" s="54">
        <f t="shared" ca="1" si="74"/>
        <v>100</v>
      </c>
      <c r="L319" s="66"/>
      <c r="M319" s="66"/>
      <c r="N319" s="66"/>
    </row>
    <row r="320" spans="1:14" ht="21.75" customHeight="1" x14ac:dyDescent="0.55000000000000004">
      <c r="A320" s="60"/>
      <c r="B320" s="67"/>
      <c r="C320" s="67"/>
      <c r="D320" s="61"/>
      <c r="E320" s="82"/>
      <c r="F320" s="80"/>
      <c r="G320" s="105" t="s">
        <v>135</v>
      </c>
      <c r="H320" s="65" t="s">
        <v>16</v>
      </c>
      <c r="I320" s="214">
        <f ca="1">IFERROR(__xludf.DUMMYFUNCTION("IMPORTRANGE(""https://docs.google.com/spreadsheets/d/1C3CXT74ZlgGe6_JY_1olB1XN4rF0dxEuIIF-xsYjHgg/edit?usp=sharing"",""งบกองทุน!al86"")"),15)</f>
        <v>15</v>
      </c>
      <c r="J320" s="390">
        <v>15</v>
      </c>
      <c r="K320" s="54">
        <f t="shared" ca="1" si="74"/>
        <v>100</v>
      </c>
      <c r="L320" s="66"/>
      <c r="M320" s="66"/>
      <c r="N320" s="66"/>
    </row>
    <row r="321" spans="1:14" ht="21.75" customHeight="1" x14ac:dyDescent="0.55000000000000004">
      <c r="A321" s="60"/>
      <c r="B321" s="67"/>
      <c r="C321" s="67"/>
      <c r="D321" s="61"/>
      <c r="E321" s="82"/>
      <c r="F321" s="260" t="s">
        <v>136</v>
      </c>
      <c r="G321" s="81"/>
      <c r="H321" s="83" t="s">
        <v>16</v>
      </c>
      <c r="I321" s="261">
        <f ca="1">IFERROR(__xludf.DUMMYFUNCTION("IMPORTRANGE(""https://docs.google.com/spreadsheets/d/1C3CXT74ZlgGe6_JY_1olB1XN4rF0dxEuIIF-xsYjHgg/edit?usp=sharing"",""งบกองทุน!an86"")"),10)</f>
        <v>10</v>
      </c>
      <c r="J321" s="388">
        <f ca="1">IF(AND(J323=I323,J324=I324),I323,0)</f>
        <v>0</v>
      </c>
      <c r="K321" s="85">
        <f t="shared" ca="1" si="74"/>
        <v>0</v>
      </c>
      <c r="L321" s="66"/>
      <c r="M321" s="66"/>
      <c r="N321" s="66"/>
    </row>
    <row r="322" spans="1:14" ht="21.75" customHeight="1" x14ac:dyDescent="0.55000000000000004">
      <c r="A322" s="60"/>
      <c r="B322" s="67"/>
      <c r="C322" s="67"/>
      <c r="D322" s="61"/>
      <c r="E322" s="82"/>
      <c r="F322" s="80"/>
      <c r="G322" s="81"/>
      <c r="H322" s="83" t="s">
        <v>103</v>
      </c>
      <c r="I322" s="261">
        <f ca="1">IFERROR(__xludf.DUMMYFUNCTION("IMPORTRANGE(""https://docs.google.com/spreadsheets/d/1C3CXT74ZlgGe6_JY_1olB1XN4rF0dxEuIIF-xsYjHgg/edit?usp=sharing"",""งบกองทุน!am86"")"),30)</f>
        <v>30</v>
      </c>
      <c r="J322" s="389">
        <v>0</v>
      </c>
      <c r="K322" s="85">
        <f t="shared" ca="1" si="74"/>
        <v>0</v>
      </c>
      <c r="L322" s="66"/>
      <c r="M322" s="66"/>
      <c r="N322" s="66"/>
    </row>
    <row r="323" spans="1:14" ht="21.75" customHeight="1" x14ac:dyDescent="0.55000000000000004">
      <c r="A323" s="60"/>
      <c r="B323" s="67"/>
      <c r="C323" s="67"/>
      <c r="D323" s="61"/>
      <c r="E323" s="82"/>
      <c r="F323" s="80"/>
      <c r="G323" s="105" t="s">
        <v>137</v>
      </c>
      <c r="H323" s="65" t="s">
        <v>16</v>
      </c>
      <c r="I323" s="265">
        <f ca="1">IFERROR(__xludf.DUMMYFUNCTION("IMPORTRANGE(""https://docs.google.com/spreadsheets/d/1C3CXT74ZlgGe6_JY_1olB1XN4rF0dxEuIIF-xsYjHgg/edit?usp=sharing"",""งบกองทุน!ao86"")"),10)</f>
        <v>10</v>
      </c>
      <c r="J323" s="390">
        <v>0</v>
      </c>
      <c r="K323" s="54">
        <f ca="1">IF(I323&gt;0,J323*100/I323,0)</f>
        <v>0</v>
      </c>
      <c r="L323" s="66"/>
      <c r="M323" s="66"/>
      <c r="N323" s="66"/>
    </row>
    <row r="324" spans="1:14" ht="21.75" customHeight="1" x14ac:dyDescent="0.55000000000000004">
      <c r="A324" s="60"/>
      <c r="B324" s="67"/>
      <c r="C324" s="67"/>
      <c r="D324" s="61"/>
      <c r="E324" s="82"/>
      <c r="F324" s="80"/>
      <c r="G324" s="105" t="s">
        <v>138</v>
      </c>
      <c r="H324" s="65" t="s">
        <v>16</v>
      </c>
      <c r="I324" s="265">
        <f ca="1">IFERROR(__xludf.DUMMYFUNCTION("IMPORTRANGE(""https://docs.google.com/spreadsheets/d/1C3CXT74ZlgGe6_JY_1olB1XN4rF0dxEuIIF-xsYjHgg/edit?usp=sharing"",""งบกองทุน!ap86"")"),10)</f>
        <v>10</v>
      </c>
      <c r="J324" s="390">
        <v>0</v>
      </c>
      <c r="K324" s="54">
        <f t="shared" ref="K324:K327" ca="1" si="75">IF(I324&gt;0,J324*100/I324,0)</f>
        <v>0</v>
      </c>
      <c r="L324" s="66"/>
      <c r="M324" s="66"/>
      <c r="N324" s="66"/>
    </row>
    <row r="325" spans="1:14" ht="21.75" customHeight="1" x14ac:dyDescent="0.55000000000000004">
      <c r="A325" s="60"/>
      <c r="B325" s="67"/>
      <c r="C325" s="67"/>
      <c r="D325" s="61"/>
      <c r="E325" s="82"/>
      <c r="F325" s="79" t="s">
        <v>34</v>
      </c>
      <c r="G325" s="258"/>
      <c r="H325" s="259" t="s">
        <v>16</v>
      </c>
      <c r="I325" s="84">
        <f ca="1">SUM(I326,I327)</f>
        <v>25</v>
      </c>
      <c r="J325" s="388">
        <f ca="1">IF(AND(J326=I326,J327=I327),I325,0)</f>
        <v>0</v>
      </c>
      <c r="K325" s="85">
        <f t="shared" ca="1" si="75"/>
        <v>0</v>
      </c>
      <c r="L325" s="66"/>
      <c r="M325" s="66"/>
      <c r="N325" s="66"/>
    </row>
    <row r="326" spans="1:14" ht="21.75" customHeight="1" x14ac:dyDescent="0.55000000000000004">
      <c r="A326" s="266"/>
      <c r="B326" s="268"/>
      <c r="C326" s="268"/>
      <c r="D326" s="267"/>
      <c r="E326" s="82"/>
      <c r="F326" s="80"/>
      <c r="G326" s="105" t="s">
        <v>139</v>
      </c>
      <c r="H326" s="65" t="s">
        <v>16</v>
      </c>
      <c r="I326" s="265">
        <f ca="1">IFERROR(__xludf.DUMMYFUNCTION("IMPORTRANGE(""https://docs.google.com/spreadsheets/d/1C3CXT74ZlgGe6_JY_1olB1XN4rF0dxEuIIF-xsYjHgg/edit?usp=sharing"",""งบกองทุน!ar86"")"),10)</f>
        <v>10</v>
      </c>
      <c r="J326" s="390">
        <v>0</v>
      </c>
      <c r="K326" s="54">
        <f t="shared" ca="1" si="75"/>
        <v>0</v>
      </c>
      <c r="L326" s="66"/>
      <c r="M326" s="66"/>
      <c r="N326" s="66"/>
    </row>
    <row r="327" spans="1:14" ht="21.75" customHeight="1" x14ac:dyDescent="0.55000000000000004">
      <c r="A327" s="266"/>
      <c r="B327" s="268"/>
      <c r="C327" s="268"/>
      <c r="D327" s="267"/>
      <c r="E327" s="82"/>
      <c r="F327" s="80"/>
      <c r="G327" s="105" t="s">
        <v>140</v>
      </c>
      <c r="H327" s="65" t="s">
        <v>16</v>
      </c>
      <c r="I327" s="265">
        <f ca="1">IFERROR(__xludf.DUMMYFUNCTION("IMPORTRANGE(""https://docs.google.com/spreadsheets/d/1C3CXT74ZlgGe6_JY_1olB1XN4rF0dxEuIIF-xsYjHgg/edit?usp=sharing"",""งบกองทุน!as86"")"),15)</f>
        <v>15</v>
      </c>
      <c r="J327" s="390">
        <v>0</v>
      </c>
      <c r="K327" s="54">
        <f t="shared" ca="1" si="75"/>
        <v>0</v>
      </c>
      <c r="L327" s="66"/>
      <c r="M327" s="66"/>
      <c r="N327" s="66"/>
    </row>
    <row r="328" spans="1:14" ht="21.75" customHeight="1" x14ac:dyDescent="0.55000000000000004">
      <c r="A328" s="60"/>
      <c r="B328" s="67"/>
      <c r="C328" s="67"/>
      <c r="D328" s="61"/>
      <c r="E328" s="79" t="s">
        <v>35</v>
      </c>
      <c r="F328" s="80"/>
      <c r="G328" s="81"/>
      <c r="H328" s="72"/>
      <c r="I328" s="73"/>
      <c r="J328" s="74">
        <v>0</v>
      </c>
      <c r="K328" s="54"/>
      <c r="L328" s="66"/>
      <c r="M328" s="66"/>
      <c r="N328" s="66"/>
    </row>
    <row r="329" spans="1:14" ht="21.75" customHeight="1" x14ac:dyDescent="0.55000000000000004">
      <c r="A329" s="60"/>
      <c r="B329" s="67"/>
      <c r="C329" s="67"/>
      <c r="D329" s="86">
        <v>3</v>
      </c>
      <c r="E329" s="87" t="s">
        <v>36</v>
      </c>
      <c r="F329" s="88"/>
      <c r="G329" s="89"/>
      <c r="H329" s="72"/>
      <c r="I329" s="73"/>
      <c r="J329" s="90">
        <v>0</v>
      </c>
      <c r="K329" s="54"/>
      <c r="L329" s="66"/>
      <c r="M329" s="66"/>
      <c r="N329" s="66"/>
    </row>
    <row r="330" spans="1:14" ht="21.75" customHeight="1" x14ac:dyDescent="0.55000000000000004">
      <c r="A330" s="269"/>
      <c r="B330" s="271">
        <v>4</v>
      </c>
      <c r="C330" s="271" t="s">
        <v>141</v>
      </c>
      <c r="D330" s="272"/>
      <c r="E330" s="272"/>
      <c r="F330" s="272"/>
      <c r="G330" s="273"/>
      <c r="H330" s="274" t="s">
        <v>16</v>
      </c>
      <c r="I330" s="275">
        <f ca="1">I344</f>
        <v>10</v>
      </c>
      <c r="J330" s="275">
        <f>+J344</f>
        <v>10</v>
      </c>
      <c r="K330" s="276">
        <f ca="1">IF(I330&gt;0,J330*100/I330,0)</f>
        <v>100</v>
      </c>
      <c r="L330" s="277">
        <f t="shared" ref="L330:M330" ca="1" si="76">SUM(L331:L332)</f>
        <v>71000</v>
      </c>
      <c r="M330" s="277">
        <f t="shared" si="76"/>
        <v>20200</v>
      </c>
      <c r="N330" s="277">
        <f t="shared" ref="N330:N334" ca="1" si="77">+IF(L330&gt;0,M330*100/L330,0)</f>
        <v>28.450704225352112</v>
      </c>
    </row>
    <row r="331" spans="1:14" ht="21.75" customHeight="1" x14ac:dyDescent="0.55000000000000004">
      <c r="A331" s="46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7"/>
        <v>0</v>
      </c>
    </row>
    <row r="332" spans="1:14" ht="21.75" customHeight="1" x14ac:dyDescent="0.55000000000000004">
      <c r="A332" s="46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8">SUM(L333:L334)</f>
        <v>71000</v>
      </c>
      <c r="M332" s="58">
        <f t="shared" si="78"/>
        <v>20200</v>
      </c>
      <c r="N332" s="58">
        <f t="shared" ca="1" si="77"/>
        <v>28.450704225352112</v>
      </c>
    </row>
    <row r="333" spans="1:14" ht="21.75" customHeight="1" x14ac:dyDescent="0.55000000000000004">
      <c r="A333" s="46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IFERROR(__xludf.DUMMYFUNCTION("IMPORTRANGE(""https://docs.google.com/spreadsheets/d/1C3CXT74ZlgGe6_JY_1olB1XN4rF0dxEuIIF-xsYjHgg/edit?usp=sharing"",""งบกองทุน!au86"")"),0)</f>
        <v>0</v>
      </c>
      <c r="M333" s="58">
        <v>0</v>
      </c>
      <c r="N333" s="58">
        <f t="shared" ca="1" si="77"/>
        <v>0</v>
      </c>
    </row>
    <row r="334" spans="1:14" ht="21.75" customHeight="1" x14ac:dyDescent="0.55000000000000004">
      <c r="A334" s="46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IFERROR(__xludf.DUMMYFUNCTION("IMPORTRANGE(""https://docs.google.com/spreadsheets/d/1C3CXT74ZlgGe6_JY_1olB1XN4rF0dxEuIIF-xsYjHgg/edit?usp=sharing"",""งบกองทุน!av86"")"),71000)</f>
        <v>71000</v>
      </c>
      <c r="M334" s="58">
        <f>SUM(M335:M338)</f>
        <v>20200</v>
      </c>
      <c r="N334" s="58">
        <f t="shared" ca="1" si="77"/>
        <v>28.450704225352112</v>
      </c>
    </row>
    <row r="335" spans="1:14" ht="21.75" customHeight="1" x14ac:dyDescent="0.55000000000000004">
      <c r="A335" s="247"/>
      <c r="B335" s="329"/>
      <c r="C335" s="48"/>
      <c r="D335" s="249"/>
      <c r="E335" s="50"/>
      <c r="F335" s="50"/>
      <c r="G335" s="51" t="s">
        <v>112</v>
      </c>
      <c r="H335" s="52" t="s">
        <v>20</v>
      </c>
      <c r="I335" s="73"/>
      <c r="J335" s="73"/>
      <c r="K335" s="250"/>
      <c r="L335" s="58"/>
      <c r="M335" s="59">
        <v>20200</v>
      </c>
      <c r="N335" s="58"/>
    </row>
    <row r="336" spans="1:14" ht="21.75" customHeight="1" x14ac:dyDescent="0.55000000000000004">
      <c r="A336" s="247"/>
      <c r="B336" s="329"/>
      <c r="C336" s="48"/>
      <c r="D336" s="249"/>
      <c r="E336" s="50"/>
      <c r="F336" s="50"/>
      <c r="G336" s="51" t="s">
        <v>113</v>
      </c>
      <c r="H336" s="52" t="s">
        <v>20</v>
      </c>
      <c r="I336" s="73"/>
      <c r="J336" s="73"/>
      <c r="K336" s="250"/>
      <c r="L336" s="58"/>
      <c r="M336" s="59">
        <v>0</v>
      </c>
      <c r="N336" s="58"/>
    </row>
    <row r="337" spans="1:14" ht="21.75" customHeight="1" x14ac:dyDescent="0.55000000000000004">
      <c r="A337" s="247"/>
      <c r="B337" s="329"/>
      <c r="C337" s="48"/>
      <c r="D337" s="249"/>
      <c r="E337" s="50"/>
      <c r="F337" s="50"/>
      <c r="G337" s="51" t="s">
        <v>114</v>
      </c>
      <c r="H337" s="52" t="s">
        <v>20</v>
      </c>
      <c r="I337" s="73"/>
      <c r="J337" s="73"/>
      <c r="K337" s="250"/>
      <c r="L337" s="58"/>
      <c r="M337" s="59">
        <v>0</v>
      </c>
      <c r="N337" s="58"/>
    </row>
    <row r="338" spans="1:14" ht="21.75" customHeight="1" x14ac:dyDescent="0.55000000000000004">
      <c r="A338" s="247"/>
      <c r="B338" s="329"/>
      <c r="C338" s="48"/>
      <c r="D338" s="249"/>
      <c r="E338" s="50"/>
      <c r="F338" s="50"/>
      <c r="G338" s="51" t="s">
        <v>115</v>
      </c>
      <c r="H338" s="52" t="s">
        <v>20</v>
      </c>
      <c r="I338" s="73"/>
      <c r="J338" s="73"/>
      <c r="K338" s="250"/>
      <c r="L338" s="58"/>
      <c r="M338" s="59">
        <v>0</v>
      </c>
      <c r="N338" s="58"/>
    </row>
    <row r="339" spans="1:14" ht="21.75" customHeight="1" x14ac:dyDescent="0.55000000000000004">
      <c r="A339" s="60"/>
      <c r="B339" s="67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55000000000000004">
      <c r="A340" s="60"/>
      <c r="B340" s="67"/>
      <c r="C340" s="67"/>
      <c r="D340" s="68">
        <v>1</v>
      </c>
      <c r="E340" s="69" t="s">
        <v>26</v>
      </c>
      <c r="F340" s="70"/>
      <c r="G340" s="71"/>
      <c r="H340" s="72"/>
      <c r="I340" s="73"/>
      <c r="J340" s="90">
        <v>0</v>
      </c>
      <c r="K340" s="54"/>
      <c r="L340" s="66"/>
      <c r="M340" s="66"/>
      <c r="N340" s="66"/>
    </row>
    <row r="341" spans="1:14" ht="21.75" customHeight="1" x14ac:dyDescent="0.55000000000000004">
      <c r="A341" s="60"/>
      <c r="B341" s="67"/>
      <c r="C341" s="67"/>
      <c r="D341" s="75">
        <v>2</v>
      </c>
      <c r="E341" s="76" t="s">
        <v>27</v>
      </c>
      <c r="F341" s="77"/>
      <c r="G341" s="78"/>
      <c r="H341" s="72"/>
      <c r="I341" s="73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55000000000000004">
      <c r="A342" s="60"/>
      <c r="B342" s="67"/>
      <c r="C342" s="67"/>
      <c r="D342" s="61"/>
      <c r="E342" s="79" t="s">
        <v>142</v>
      </c>
      <c r="F342" s="80"/>
      <c r="G342" s="81"/>
      <c r="H342" s="72"/>
      <c r="I342" s="73"/>
      <c r="J342" s="74">
        <v>0</v>
      </c>
      <c r="K342" s="54"/>
      <c r="L342" s="66"/>
      <c r="M342" s="66"/>
      <c r="N342" s="66"/>
    </row>
    <row r="343" spans="1:14" ht="21.75" customHeight="1" x14ac:dyDescent="0.55000000000000004">
      <c r="A343" s="60"/>
      <c r="B343" s="67"/>
      <c r="C343" s="67"/>
      <c r="D343" s="61"/>
      <c r="E343" s="79" t="s">
        <v>29</v>
      </c>
      <c r="F343" s="80"/>
      <c r="G343" s="81"/>
      <c r="H343" s="72"/>
      <c r="I343" s="73"/>
      <c r="J343" s="74">
        <v>0</v>
      </c>
      <c r="K343" s="54"/>
      <c r="L343" s="66"/>
      <c r="M343" s="66"/>
      <c r="N343" s="66"/>
    </row>
    <row r="344" spans="1:14" ht="21.75" customHeight="1" x14ac:dyDescent="0.55000000000000004">
      <c r="A344" s="60"/>
      <c r="B344" s="67"/>
      <c r="C344" s="67"/>
      <c r="D344" s="61"/>
      <c r="E344" s="82"/>
      <c r="F344" s="278" t="s">
        <v>82</v>
      </c>
      <c r="G344" s="81"/>
      <c r="H344" s="72" t="s">
        <v>16</v>
      </c>
      <c r="I344" s="261">
        <f t="shared" ref="I344:J344" ca="1" si="79">+I345+I346+I347</f>
        <v>10</v>
      </c>
      <c r="J344" s="84">
        <f t="shared" si="79"/>
        <v>10</v>
      </c>
      <c r="K344" s="54">
        <f t="shared" ref="K344:K347" ca="1" si="80">IF(I344&gt;0,J344*100/I344,0)</f>
        <v>100</v>
      </c>
      <c r="L344" s="66"/>
      <c r="M344" s="66"/>
      <c r="N344" s="66"/>
    </row>
    <row r="345" spans="1:14" ht="21.75" customHeight="1" x14ac:dyDescent="0.55000000000000004">
      <c r="A345" s="60"/>
      <c r="B345" s="67"/>
      <c r="C345" s="67"/>
      <c r="D345" s="61"/>
      <c r="E345" s="82"/>
      <c r="F345" s="80"/>
      <c r="G345" s="105" t="s">
        <v>143</v>
      </c>
      <c r="H345" s="72" t="s">
        <v>16</v>
      </c>
      <c r="I345" s="214">
        <f ca="1">IFERROR(__xludf.DUMMYFUNCTION("IMPORTRANGE(""https://docs.google.com/spreadsheets/d/1C3CXT74ZlgGe6_JY_1olB1XN4rF0dxEuIIF-xsYjHgg/edit?usp=sharing"",""งบกองทุน!ay86"")"),10)</f>
        <v>10</v>
      </c>
      <c r="J345" s="74">
        <v>10</v>
      </c>
      <c r="K345" s="54">
        <f t="shared" ca="1" si="80"/>
        <v>100</v>
      </c>
      <c r="L345" s="66"/>
      <c r="M345" s="66"/>
      <c r="N345" s="66"/>
    </row>
    <row r="346" spans="1:14" ht="21.75" customHeight="1" x14ac:dyDescent="0.55000000000000004">
      <c r="A346" s="60"/>
      <c r="B346" s="67"/>
      <c r="C346" s="67"/>
      <c r="D346" s="61"/>
      <c r="E346" s="82"/>
      <c r="F346" s="80"/>
      <c r="G346" s="81" t="s">
        <v>144</v>
      </c>
      <c r="H346" s="72" t="s">
        <v>16</v>
      </c>
      <c r="I346" s="214">
        <f ca="1">IFERROR(__xludf.DUMMYFUNCTION("IMPORTRANGE(""https://docs.google.com/spreadsheets/d/1C3CXT74ZlgGe6_JY_1olB1XN4rF0dxEuIIF-xsYjHgg/edit?usp=sharing"",""งบกองทุน!az86"")"),0)</f>
        <v>0</v>
      </c>
      <c r="J346" s="74">
        <v>0</v>
      </c>
      <c r="K346" s="54">
        <f t="shared" ca="1" si="80"/>
        <v>0</v>
      </c>
      <c r="L346" s="66"/>
      <c r="M346" s="66"/>
      <c r="N346" s="66"/>
    </row>
    <row r="347" spans="1:14" ht="21.75" customHeight="1" x14ac:dyDescent="0.55000000000000004">
      <c r="A347" s="60"/>
      <c r="B347" s="67"/>
      <c r="C347" s="67"/>
      <c r="D347" s="61"/>
      <c r="E347" s="82"/>
      <c r="F347" s="80"/>
      <c r="G347" s="81" t="s">
        <v>145</v>
      </c>
      <c r="H347" s="72" t="s">
        <v>16</v>
      </c>
      <c r="I347" s="73">
        <f ca="1">IFERROR(__xludf.DUMMYFUNCTION("IMPORTRANGE(""https://docs.google.com/spreadsheets/d/1C3CXT74ZlgGe6_JY_1olB1XN4rF0dxEuIIF-xsYjHgg/edit?usp=sharing"",""งบกองทุน!Ba86"")"),0)</f>
        <v>0</v>
      </c>
      <c r="J347" s="74">
        <v>0</v>
      </c>
      <c r="K347" s="54">
        <f t="shared" ca="1" si="80"/>
        <v>0</v>
      </c>
      <c r="L347" s="66"/>
      <c r="M347" s="66"/>
      <c r="N347" s="66"/>
    </row>
    <row r="348" spans="1:14" ht="21.75" customHeight="1" x14ac:dyDescent="0.55000000000000004">
      <c r="A348" s="60"/>
      <c r="B348" s="67"/>
      <c r="C348" s="67"/>
      <c r="D348" s="61"/>
      <c r="E348" s="79" t="s">
        <v>35</v>
      </c>
      <c r="F348" s="80"/>
      <c r="G348" s="81"/>
      <c r="H348" s="72"/>
      <c r="I348" s="73"/>
      <c r="J348" s="74">
        <v>0</v>
      </c>
      <c r="K348" s="54"/>
      <c r="L348" s="66"/>
      <c r="M348" s="66"/>
      <c r="N348" s="66"/>
    </row>
    <row r="349" spans="1:14" ht="21.75" customHeight="1" x14ac:dyDescent="0.55000000000000004">
      <c r="A349" s="60"/>
      <c r="B349" s="67"/>
      <c r="C349" s="67"/>
      <c r="D349" s="86">
        <v>3</v>
      </c>
      <c r="E349" s="87" t="s">
        <v>36</v>
      </c>
      <c r="F349" s="88"/>
      <c r="G349" s="89"/>
      <c r="H349" s="72"/>
      <c r="I349" s="73"/>
      <c r="J349" s="90">
        <v>0</v>
      </c>
      <c r="K349" s="54"/>
      <c r="L349" s="66"/>
      <c r="M349" s="66"/>
      <c r="N349" s="66"/>
    </row>
    <row r="350" spans="1:14" ht="21.75" customHeight="1" x14ac:dyDescent="0.55000000000000004">
      <c r="A350" s="239"/>
      <c r="B350" s="256">
        <v>5</v>
      </c>
      <c r="C350" s="241" t="s">
        <v>146</v>
      </c>
      <c r="D350" s="241"/>
      <c r="E350" s="241"/>
      <c r="F350" s="241"/>
      <c r="G350" s="242"/>
      <c r="H350" s="243" t="s">
        <v>103</v>
      </c>
      <c r="I350" s="244">
        <f ca="1">I359</f>
        <v>2183</v>
      </c>
      <c r="J350" s="244">
        <f>+J359</f>
        <v>0</v>
      </c>
      <c r="K350" s="245">
        <f ca="1">IF(I350&gt;0,J350*100/I350,0)</f>
        <v>0</v>
      </c>
      <c r="L350" s="246">
        <f t="shared" ref="L350:M350" ca="1" si="81">SUM(L351:L352)</f>
        <v>53226</v>
      </c>
      <c r="M350" s="246">
        <f t="shared" si="81"/>
        <v>0</v>
      </c>
      <c r="N350" s="246">
        <f t="shared" ref="N350:N354" ca="1" si="82">+IF(L350&gt;0,M350*100/L350,0)</f>
        <v>0</v>
      </c>
    </row>
    <row r="351" spans="1:14" ht="21.75" customHeight="1" x14ac:dyDescent="0.55000000000000004">
      <c r="A351" s="46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2"/>
        <v>0</v>
      </c>
    </row>
    <row r="352" spans="1:14" ht="21.75" customHeight="1" x14ac:dyDescent="0.55000000000000004">
      <c r="A352" s="46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3">SUM(L353:L354)</f>
        <v>53226</v>
      </c>
      <c r="M352" s="58">
        <f t="shared" si="83"/>
        <v>0</v>
      </c>
      <c r="N352" s="58">
        <f t="shared" ca="1" si="82"/>
        <v>0</v>
      </c>
    </row>
    <row r="353" spans="1:14" ht="21.75" customHeight="1" x14ac:dyDescent="0.55000000000000004">
      <c r="A353" s="46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IFERROR(__xludf.DUMMYFUNCTION("IMPORTRANGE(""https://docs.google.com/spreadsheets/d/1C3CXT74ZlgGe6_JY_1olB1XN4rF0dxEuIIF-xsYjHgg/edit?usp=sharing"",""งบกองทุน!Bc86"")"),0)</f>
        <v>0</v>
      </c>
      <c r="M353" s="58">
        <v>0</v>
      </c>
      <c r="N353" s="58">
        <f t="shared" ca="1" si="82"/>
        <v>0</v>
      </c>
    </row>
    <row r="354" spans="1:14" ht="21.75" customHeight="1" x14ac:dyDescent="0.55000000000000004">
      <c r="A354" s="46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IFERROR(__xludf.DUMMYFUNCTION("IMPORTRANGE(""https://docs.google.com/spreadsheets/d/1C3CXT74ZlgGe6_JY_1olB1XN4rF0dxEuIIF-xsYjHgg/edit?usp=sharing"",""งบกองทุน!Bd86"")"),53226)</f>
        <v>53226</v>
      </c>
      <c r="M354" s="58">
        <f>SUM(M355:M358)</f>
        <v>0</v>
      </c>
      <c r="N354" s="58">
        <f t="shared" ca="1" si="82"/>
        <v>0</v>
      </c>
    </row>
    <row r="355" spans="1:14" ht="21.75" customHeight="1" x14ac:dyDescent="0.55000000000000004">
      <c r="A355" s="247"/>
      <c r="B355" s="329"/>
      <c r="C355" s="48"/>
      <c r="D355" s="249"/>
      <c r="E355" s="50"/>
      <c r="F355" s="50"/>
      <c r="G355" s="51" t="s">
        <v>112</v>
      </c>
      <c r="H355" s="52" t="s">
        <v>20</v>
      </c>
      <c r="I355" s="73"/>
      <c r="J355" s="73"/>
      <c r="K355" s="250"/>
      <c r="L355" s="58"/>
      <c r="M355" s="58">
        <v>0</v>
      </c>
      <c r="N355" s="58"/>
    </row>
    <row r="356" spans="1:14" ht="21.75" customHeight="1" x14ac:dyDescent="0.55000000000000004">
      <c r="A356" s="247"/>
      <c r="B356" s="329"/>
      <c r="C356" s="48"/>
      <c r="D356" s="249"/>
      <c r="E356" s="50"/>
      <c r="F356" s="50"/>
      <c r="G356" s="51" t="s">
        <v>113</v>
      </c>
      <c r="H356" s="52" t="s">
        <v>20</v>
      </c>
      <c r="I356" s="73"/>
      <c r="J356" s="73"/>
      <c r="K356" s="250"/>
      <c r="L356" s="58"/>
      <c r="M356" s="58">
        <v>0</v>
      </c>
      <c r="N356" s="58"/>
    </row>
    <row r="357" spans="1:14" ht="21.75" customHeight="1" x14ac:dyDescent="0.55000000000000004">
      <c r="A357" s="247"/>
      <c r="B357" s="329"/>
      <c r="C357" s="48"/>
      <c r="D357" s="249"/>
      <c r="E357" s="50"/>
      <c r="F357" s="50"/>
      <c r="G357" s="51" t="s">
        <v>114</v>
      </c>
      <c r="H357" s="52" t="s">
        <v>20</v>
      </c>
      <c r="I357" s="73"/>
      <c r="J357" s="73"/>
      <c r="K357" s="250"/>
      <c r="L357" s="58"/>
      <c r="M357" s="59">
        <v>0</v>
      </c>
      <c r="N357" s="58"/>
    </row>
    <row r="358" spans="1:14" ht="21.75" customHeight="1" x14ac:dyDescent="0.55000000000000004">
      <c r="A358" s="247"/>
      <c r="B358" s="329"/>
      <c r="C358" s="48"/>
      <c r="D358" s="249"/>
      <c r="E358" s="50"/>
      <c r="F358" s="50"/>
      <c r="G358" s="51" t="s">
        <v>115</v>
      </c>
      <c r="H358" s="52" t="s">
        <v>20</v>
      </c>
      <c r="I358" s="73"/>
      <c r="J358" s="73"/>
      <c r="K358" s="250"/>
      <c r="L358" s="58"/>
      <c r="M358" s="59">
        <v>0</v>
      </c>
      <c r="N358" s="58"/>
    </row>
    <row r="359" spans="1:14" ht="21.75" customHeight="1" x14ac:dyDescent="0.55000000000000004">
      <c r="A359" s="60"/>
      <c r="B359" s="67"/>
      <c r="C359" s="279" t="s">
        <v>147</v>
      </c>
      <c r="D359" s="279"/>
      <c r="E359" s="280"/>
      <c r="F359" s="280"/>
      <c r="G359" s="281"/>
      <c r="H359" s="147" t="s">
        <v>103</v>
      </c>
      <c r="I359" s="148">
        <f ca="1">IFERROR(__xludf.DUMMYFUNCTION("IMPORTRANGE(""https://docs.google.com/spreadsheets/d/1C3CXT74ZlgGe6_JY_1olB1XN4rF0dxEuIIF-xsYjHgg/edit?usp=sharing"",""งบกองทุน!BE86"")"),2183)</f>
        <v>2183</v>
      </c>
      <c r="J359" s="148">
        <f>+J376</f>
        <v>0</v>
      </c>
      <c r="K359" s="149">
        <f t="shared" ref="K359:K425" ca="1" si="84">IF(I359&gt;0,J359*100/I359,0)</f>
        <v>0</v>
      </c>
      <c r="L359" s="151"/>
      <c r="M359" s="151"/>
      <c r="N359" s="151"/>
    </row>
    <row r="360" spans="1:14" ht="21.75" customHeight="1" x14ac:dyDescent="0.55000000000000004">
      <c r="A360" s="266"/>
      <c r="B360" s="268"/>
      <c r="C360" s="268"/>
      <c r="D360" s="267"/>
      <c r="E360" s="61" t="s">
        <v>148</v>
      </c>
      <c r="F360" s="80"/>
      <c r="G360" s="81"/>
      <c r="H360" s="282" t="s">
        <v>103</v>
      </c>
      <c r="I360" s="283">
        <f ca="1">I359</f>
        <v>2183</v>
      </c>
      <c r="J360" s="283">
        <f t="shared" ref="J360:J361" si="85">+J362+J364+J366</f>
        <v>0</v>
      </c>
      <c r="K360" s="85">
        <f t="shared" ca="1" si="84"/>
        <v>0</v>
      </c>
      <c r="L360" s="66"/>
      <c r="M360" s="66"/>
      <c r="N360" s="66"/>
    </row>
    <row r="361" spans="1:14" ht="21.75" customHeight="1" x14ac:dyDescent="0.55000000000000004">
      <c r="A361" s="266"/>
      <c r="B361" s="268"/>
      <c r="C361" s="268"/>
      <c r="D361" s="267"/>
      <c r="E361" s="80"/>
      <c r="F361" s="80"/>
      <c r="G361" s="81"/>
      <c r="H361" s="282" t="s">
        <v>15</v>
      </c>
      <c r="I361" s="283">
        <f ca="1">IFERROR(__xludf.DUMMYFUNCTION("IMPORTRANGE(""https://docs.google.com/spreadsheets/d/1C3CXT74ZlgGe6_JY_1olB1XN4rF0dxEuIIF-xsYjHgg/edit?usp=sharing"",""งบกองทุน!BF86"")"),396)</f>
        <v>396</v>
      </c>
      <c r="J361" s="283">
        <f t="shared" si="85"/>
        <v>0</v>
      </c>
      <c r="K361" s="85">
        <f t="shared" ca="1" si="84"/>
        <v>0</v>
      </c>
      <c r="L361" s="66"/>
      <c r="M361" s="66"/>
      <c r="N361" s="66"/>
    </row>
    <row r="362" spans="1:14" ht="21.75" customHeight="1" x14ac:dyDescent="0.55000000000000004">
      <c r="A362" s="266"/>
      <c r="B362" s="268"/>
      <c r="C362" s="268"/>
      <c r="D362" s="267"/>
      <c r="E362" s="80"/>
      <c r="F362" s="260" t="s">
        <v>149</v>
      </c>
      <c r="G362" s="284"/>
      <c r="H362" s="285" t="s">
        <v>103</v>
      </c>
      <c r="I362" s="53">
        <v>0</v>
      </c>
      <c r="J362" s="74">
        <v>0</v>
      </c>
      <c r="K362" s="54">
        <f t="shared" si="84"/>
        <v>0</v>
      </c>
      <c r="L362" s="66"/>
      <c r="M362" s="66"/>
      <c r="N362" s="66"/>
    </row>
    <row r="363" spans="1:14" ht="21.75" customHeight="1" x14ac:dyDescent="0.55000000000000004">
      <c r="A363" s="266"/>
      <c r="B363" s="268"/>
      <c r="C363" s="268"/>
      <c r="D363" s="267"/>
      <c r="E363" s="80"/>
      <c r="F363" s="80"/>
      <c r="G363" s="284"/>
      <c r="H363" s="285" t="s">
        <v>15</v>
      </c>
      <c r="I363" s="53">
        <v>0</v>
      </c>
      <c r="J363" s="74">
        <v>0</v>
      </c>
      <c r="K363" s="54">
        <f t="shared" si="84"/>
        <v>0</v>
      </c>
      <c r="L363" s="66"/>
      <c r="M363" s="66"/>
      <c r="N363" s="66"/>
    </row>
    <row r="364" spans="1:14" ht="21.75" customHeight="1" x14ac:dyDescent="0.55000000000000004">
      <c r="A364" s="266"/>
      <c r="B364" s="268"/>
      <c r="C364" s="268"/>
      <c r="D364" s="267"/>
      <c r="E364" s="80"/>
      <c r="F364" s="260" t="s">
        <v>150</v>
      </c>
      <c r="G364" s="284"/>
      <c r="H364" s="285" t="s">
        <v>103</v>
      </c>
      <c r="I364" s="53">
        <v>0</v>
      </c>
      <c r="J364" s="74">
        <v>0</v>
      </c>
      <c r="K364" s="54">
        <f t="shared" si="84"/>
        <v>0</v>
      </c>
      <c r="L364" s="66"/>
      <c r="M364" s="66"/>
      <c r="N364" s="66"/>
    </row>
    <row r="365" spans="1:14" ht="21.75" customHeight="1" x14ac:dyDescent="0.55000000000000004">
      <c r="A365" s="266"/>
      <c r="B365" s="268"/>
      <c r="C365" s="268"/>
      <c r="D365" s="267"/>
      <c r="E365" s="80"/>
      <c r="F365" s="80"/>
      <c r="G365" s="284"/>
      <c r="H365" s="285" t="s">
        <v>15</v>
      </c>
      <c r="I365" s="53">
        <v>0</v>
      </c>
      <c r="J365" s="74">
        <v>0</v>
      </c>
      <c r="K365" s="54">
        <f t="shared" si="84"/>
        <v>0</v>
      </c>
      <c r="L365" s="66"/>
      <c r="M365" s="66"/>
      <c r="N365" s="66"/>
    </row>
    <row r="366" spans="1:14" ht="21.75" customHeight="1" x14ac:dyDescent="0.55000000000000004">
      <c r="A366" s="266"/>
      <c r="B366" s="268"/>
      <c r="C366" s="268"/>
      <c r="D366" s="267"/>
      <c r="E366" s="80"/>
      <c r="F366" s="260" t="s">
        <v>151</v>
      </c>
      <c r="G366" s="284"/>
      <c r="H366" s="285" t="s">
        <v>103</v>
      </c>
      <c r="I366" s="53">
        <v>0</v>
      </c>
      <c r="J366" s="74">
        <v>0</v>
      </c>
      <c r="K366" s="54">
        <f t="shared" si="84"/>
        <v>0</v>
      </c>
      <c r="L366" s="66"/>
      <c r="M366" s="66"/>
      <c r="N366" s="66"/>
    </row>
    <row r="367" spans="1:14" ht="21.75" customHeight="1" x14ac:dyDescent="0.55000000000000004">
      <c r="A367" s="266"/>
      <c r="B367" s="268"/>
      <c r="C367" s="268"/>
      <c r="D367" s="267"/>
      <c r="E367" s="80"/>
      <c r="F367" s="80"/>
      <c r="G367" s="80"/>
      <c r="H367" s="285" t="s">
        <v>15</v>
      </c>
      <c r="I367" s="53">
        <v>0</v>
      </c>
      <c r="J367" s="74">
        <v>0</v>
      </c>
      <c r="K367" s="54">
        <f t="shared" si="84"/>
        <v>0</v>
      </c>
      <c r="L367" s="66"/>
      <c r="M367" s="66"/>
      <c r="N367" s="66"/>
    </row>
    <row r="368" spans="1:14" ht="21.75" customHeight="1" x14ac:dyDescent="0.55000000000000004">
      <c r="A368" s="266"/>
      <c r="B368" s="268"/>
      <c r="C368" s="268"/>
      <c r="D368" s="267"/>
      <c r="E368" s="286" t="s">
        <v>152</v>
      </c>
      <c r="F368" s="80"/>
      <c r="G368" s="81"/>
      <c r="H368" s="282" t="s">
        <v>103</v>
      </c>
      <c r="I368" s="283">
        <f ca="1">+I359</f>
        <v>2183</v>
      </c>
      <c r="J368" s="283">
        <f t="shared" ref="J368:J369" si="86">+J370+J372+J374</f>
        <v>0</v>
      </c>
      <c r="K368" s="85">
        <f t="shared" ca="1" si="84"/>
        <v>0</v>
      </c>
      <c r="L368" s="66"/>
      <c r="M368" s="66"/>
      <c r="N368" s="66"/>
    </row>
    <row r="369" spans="1:14" ht="21.75" customHeight="1" x14ac:dyDescent="0.55000000000000004">
      <c r="A369" s="266"/>
      <c r="B369" s="268"/>
      <c r="C369" s="268"/>
      <c r="D369" s="267"/>
      <c r="E369" s="80"/>
      <c r="F369" s="80"/>
      <c r="G369" s="81"/>
      <c r="H369" s="282" t="s">
        <v>15</v>
      </c>
      <c r="I369" s="283">
        <f ca="1">I361</f>
        <v>396</v>
      </c>
      <c r="J369" s="283">
        <f t="shared" si="86"/>
        <v>0</v>
      </c>
      <c r="K369" s="85">
        <f t="shared" ca="1" si="84"/>
        <v>0</v>
      </c>
      <c r="L369" s="66"/>
      <c r="M369" s="66"/>
      <c r="N369" s="66"/>
    </row>
    <row r="370" spans="1:14" ht="21.75" customHeight="1" x14ac:dyDescent="0.55000000000000004">
      <c r="A370" s="266"/>
      <c r="B370" s="268"/>
      <c r="C370" s="268"/>
      <c r="D370" s="267"/>
      <c r="E370" s="80"/>
      <c r="F370" s="79" t="s">
        <v>153</v>
      </c>
      <c r="G370" s="284"/>
      <c r="H370" s="285" t="s">
        <v>103</v>
      </c>
      <c r="I370" s="53">
        <v>0</v>
      </c>
      <c r="J370" s="74">
        <v>0</v>
      </c>
      <c r="K370" s="54">
        <f t="shared" si="84"/>
        <v>0</v>
      </c>
      <c r="L370" s="66"/>
      <c r="M370" s="66"/>
      <c r="N370" s="66"/>
    </row>
    <row r="371" spans="1:14" ht="21.75" customHeight="1" x14ac:dyDescent="0.55000000000000004">
      <c r="A371" s="266"/>
      <c r="B371" s="268"/>
      <c r="C371" s="268"/>
      <c r="D371" s="267"/>
      <c r="E371" s="80"/>
      <c r="F371" s="80"/>
      <c r="G371" s="284"/>
      <c r="H371" s="285" t="s">
        <v>15</v>
      </c>
      <c r="I371" s="53">
        <v>0</v>
      </c>
      <c r="J371" s="74">
        <v>0</v>
      </c>
      <c r="K371" s="54">
        <f t="shared" si="84"/>
        <v>0</v>
      </c>
      <c r="L371" s="66"/>
      <c r="M371" s="66"/>
      <c r="N371" s="66"/>
    </row>
    <row r="372" spans="1:14" ht="21.75" customHeight="1" x14ac:dyDescent="0.55000000000000004">
      <c r="A372" s="266"/>
      <c r="B372" s="268"/>
      <c r="C372" s="268"/>
      <c r="D372" s="267"/>
      <c r="E372" s="80"/>
      <c r="F372" s="79" t="s">
        <v>154</v>
      </c>
      <c r="G372" s="284"/>
      <c r="H372" s="285" t="s">
        <v>103</v>
      </c>
      <c r="I372" s="53">
        <v>0</v>
      </c>
      <c r="J372" s="74">
        <v>0</v>
      </c>
      <c r="K372" s="54">
        <f t="shared" si="84"/>
        <v>0</v>
      </c>
      <c r="L372" s="66"/>
      <c r="M372" s="66"/>
      <c r="N372" s="66"/>
    </row>
    <row r="373" spans="1:14" ht="21.75" customHeight="1" x14ac:dyDescent="0.55000000000000004">
      <c r="A373" s="266"/>
      <c r="B373" s="268"/>
      <c r="C373" s="268"/>
      <c r="D373" s="267"/>
      <c r="E373" s="80"/>
      <c r="F373" s="80"/>
      <c r="G373" s="284"/>
      <c r="H373" s="285" t="s">
        <v>15</v>
      </c>
      <c r="I373" s="53">
        <v>0</v>
      </c>
      <c r="J373" s="74">
        <v>0</v>
      </c>
      <c r="K373" s="54">
        <f t="shared" si="84"/>
        <v>0</v>
      </c>
      <c r="L373" s="66"/>
      <c r="M373" s="66"/>
      <c r="N373" s="66"/>
    </row>
    <row r="374" spans="1:14" ht="21.75" customHeight="1" x14ac:dyDescent="0.55000000000000004">
      <c r="A374" s="266"/>
      <c r="B374" s="268"/>
      <c r="C374" s="268"/>
      <c r="D374" s="267"/>
      <c r="E374" s="80"/>
      <c r="F374" s="79" t="s">
        <v>155</v>
      </c>
      <c r="G374" s="284"/>
      <c r="H374" s="285" t="s">
        <v>103</v>
      </c>
      <c r="I374" s="53">
        <v>0</v>
      </c>
      <c r="J374" s="74">
        <v>0</v>
      </c>
      <c r="K374" s="54">
        <f t="shared" si="84"/>
        <v>0</v>
      </c>
      <c r="L374" s="66"/>
      <c r="M374" s="66"/>
      <c r="N374" s="66"/>
    </row>
    <row r="375" spans="1:14" ht="21.75" customHeight="1" x14ac:dyDescent="0.55000000000000004">
      <c r="A375" s="266"/>
      <c r="B375" s="268"/>
      <c r="C375" s="268"/>
      <c r="D375" s="267"/>
      <c r="E375" s="80"/>
      <c r="F375" s="80"/>
      <c r="G375" s="81"/>
      <c r="H375" s="285" t="s">
        <v>15</v>
      </c>
      <c r="I375" s="53">
        <v>0</v>
      </c>
      <c r="J375" s="74">
        <v>0</v>
      </c>
      <c r="K375" s="54">
        <f t="shared" si="84"/>
        <v>0</v>
      </c>
      <c r="L375" s="66"/>
      <c r="M375" s="66"/>
      <c r="N375" s="66"/>
    </row>
    <row r="376" spans="1:14" ht="21.75" customHeight="1" x14ac:dyDescent="0.55000000000000004">
      <c r="A376" s="287"/>
      <c r="B376" s="289"/>
      <c r="C376" s="289"/>
      <c r="D376" s="288"/>
      <c r="E376" s="290" t="s">
        <v>156</v>
      </c>
      <c r="F376" s="291"/>
      <c r="G376" s="292"/>
      <c r="H376" s="293" t="s">
        <v>103</v>
      </c>
      <c r="I376" s="283">
        <f ca="1">+I359</f>
        <v>2183</v>
      </c>
      <c r="J376" s="283">
        <f t="shared" ref="J376:J377" si="87">+J378+J380+J382+J388</f>
        <v>0</v>
      </c>
      <c r="K376" s="85">
        <f t="shared" ca="1" si="84"/>
        <v>0</v>
      </c>
      <c r="L376" s="294"/>
      <c r="M376" s="294"/>
      <c r="N376" s="294"/>
    </row>
    <row r="377" spans="1:14" ht="21.75" customHeight="1" x14ac:dyDescent="0.55000000000000004">
      <c r="A377" s="266"/>
      <c r="B377" s="268"/>
      <c r="C377" s="268"/>
      <c r="D377" s="267"/>
      <c r="E377" s="80"/>
      <c r="F377" s="80"/>
      <c r="G377" s="81"/>
      <c r="H377" s="282" t="s">
        <v>15</v>
      </c>
      <c r="I377" s="283">
        <f ca="1">I361</f>
        <v>396</v>
      </c>
      <c r="J377" s="283">
        <f t="shared" si="87"/>
        <v>0</v>
      </c>
      <c r="K377" s="85">
        <f t="shared" ca="1" si="84"/>
        <v>0</v>
      </c>
      <c r="L377" s="66"/>
      <c r="M377" s="66"/>
      <c r="N377" s="66"/>
    </row>
    <row r="378" spans="1:14" ht="21.75" customHeight="1" x14ac:dyDescent="0.55000000000000004">
      <c r="A378" s="266"/>
      <c r="B378" s="268"/>
      <c r="C378" s="268"/>
      <c r="D378" s="267"/>
      <c r="E378" s="80"/>
      <c r="F378" s="79" t="s">
        <v>157</v>
      </c>
      <c r="G378" s="284"/>
      <c r="H378" s="285" t="s">
        <v>103</v>
      </c>
      <c r="I378" s="53">
        <v>0</v>
      </c>
      <c r="J378" s="74">
        <v>0</v>
      </c>
      <c r="K378" s="54">
        <f t="shared" si="84"/>
        <v>0</v>
      </c>
      <c r="L378" s="66"/>
      <c r="M378" s="66"/>
      <c r="N378" s="66"/>
    </row>
    <row r="379" spans="1:14" ht="21.75" customHeight="1" x14ac:dyDescent="0.55000000000000004">
      <c r="A379" s="266"/>
      <c r="B379" s="268"/>
      <c r="C379" s="268"/>
      <c r="D379" s="267"/>
      <c r="E379" s="80"/>
      <c r="F379" s="80"/>
      <c r="G379" s="284"/>
      <c r="H379" s="285" t="s">
        <v>15</v>
      </c>
      <c r="I379" s="53">
        <v>0</v>
      </c>
      <c r="J379" s="74">
        <v>0</v>
      </c>
      <c r="K379" s="54">
        <f t="shared" si="84"/>
        <v>0</v>
      </c>
      <c r="L379" s="66"/>
      <c r="M379" s="66"/>
      <c r="N379" s="66"/>
    </row>
    <row r="380" spans="1:14" ht="21.75" customHeight="1" x14ac:dyDescent="0.55000000000000004">
      <c r="A380" s="266"/>
      <c r="B380" s="268"/>
      <c r="C380" s="268"/>
      <c r="D380" s="267"/>
      <c r="E380" s="80"/>
      <c r="F380" s="79" t="s">
        <v>158</v>
      </c>
      <c r="G380" s="284"/>
      <c r="H380" s="285" t="s">
        <v>103</v>
      </c>
      <c r="I380" s="53">
        <v>0</v>
      </c>
      <c r="J380" s="74">
        <v>0</v>
      </c>
      <c r="K380" s="54">
        <f t="shared" si="84"/>
        <v>0</v>
      </c>
      <c r="L380" s="66"/>
      <c r="M380" s="66"/>
      <c r="N380" s="66"/>
    </row>
    <row r="381" spans="1:14" ht="21.75" customHeight="1" x14ac:dyDescent="0.55000000000000004">
      <c r="A381" s="266"/>
      <c r="B381" s="268"/>
      <c r="C381" s="268"/>
      <c r="D381" s="267"/>
      <c r="E381" s="80"/>
      <c r="F381" s="80"/>
      <c r="G381" s="284"/>
      <c r="H381" s="285" t="s">
        <v>15</v>
      </c>
      <c r="I381" s="53">
        <v>0</v>
      </c>
      <c r="J381" s="74">
        <v>0</v>
      </c>
      <c r="K381" s="54">
        <f t="shared" si="84"/>
        <v>0</v>
      </c>
      <c r="L381" s="66"/>
      <c r="M381" s="66"/>
      <c r="N381" s="66"/>
    </row>
    <row r="382" spans="1:14" ht="21.75" customHeight="1" x14ac:dyDescent="0.55000000000000004">
      <c r="A382" s="266"/>
      <c r="B382" s="268"/>
      <c r="C382" s="268"/>
      <c r="D382" s="267"/>
      <c r="E382" s="80"/>
      <c r="F382" s="79" t="s">
        <v>159</v>
      </c>
      <c r="G382" s="284"/>
      <c r="H382" s="285" t="s">
        <v>103</v>
      </c>
      <c r="I382" s="53">
        <v>0</v>
      </c>
      <c r="J382" s="53">
        <f t="shared" ref="J382:J383" si="88">J384+J386</f>
        <v>0</v>
      </c>
      <c r="K382" s="54">
        <f t="shared" si="84"/>
        <v>0</v>
      </c>
      <c r="L382" s="66"/>
      <c r="M382" s="66"/>
      <c r="N382" s="66"/>
    </row>
    <row r="383" spans="1:14" ht="21.75" customHeight="1" x14ac:dyDescent="0.55000000000000004">
      <c r="A383" s="266"/>
      <c r="B383" s="268"/>
      <c r="C383" s="268"/>
      <c r="D383" s="267"/>
      <c r="E383" s="80"/>
      <c r="F383" s="80"/>
      <c r="G383" s="80"/>
      <c r="H383" s="285" t="s">
        <v>15</v>
      </c>
      <c r="I383" s="53">
        <v>0</v>
      </c>
      <c r="J383" s="53">
        <f t="shared" si="88"/>
        <v>0</v>
      </c>
      <c r="K383" s="54">
        <f t="shared" si="84"/>
        <v>0</v>
      </c>
      <c r="L383" s="66"/>
      <c r="M383" s="66"/>
      <c r="N383" s="66"/>
    </row>
    <row r="384" spans="1:14" ht="21.75" customHeight="1" x14ac:dyDescent="0.55000000000000004">
      <c r="A384" s="266"/>
      <c r="B384" s="268"/>
      <c r="C384" s="268"/>
      <c r="D384" s="267"/>
      <c r="E384" s="80"/>
      <c r="F384" s="80"/>
      <c r="G384" s="79" t="s">
        <v>160</v>
      </c>
      <c r="H384" s="285" t="s">
        <v>103</v>
      </c>
      <c r="I384" s="53">
        <v>0</v>
      </c>
      <c r="J384" s="74">
        <v>0</v>
      </c>
      <c r="K384" s="54">
        <f t="shared" si="84"/>
        <v>0</v>
      </c>
      <c r="L384" s="66"/>
      <c r="M384" s="66"/>
      <c r="N384" s="66"/>
    </row>
    <row r="385" spans="1:14" ht="21.75" customHeight="1" x14ac:dyDescent="0.55000000000000004">
      <c r="A385" s="266"/>
      <c r="B385" s="268"/>
      <c r="C385" s="268"/>
      <c r="D385" s="267"/>
      <c r="E385" s="80"/>
      <c r="F385" s="80"/>
      <c r="G385" s="80"/>
      <c r="H385" s="285" t="s">
        <v>15</v>
      </c>
      <c r="I385" s="53">
        <v>0</v>
      </c>
      <c r="J385" s="74">
        <v>0</v>
      </c>
      <c r="K385" s="54">
        <f t="shared" si="84"/>
        <v>0</v>
      </c>
      <c r="L385" s="66"/>
      <c r="M385" s="66"/>
      <c r="N385" s="66"/>
    </row>
    <row r="386" spans="1:14" ht="21.75" customHeight="1" x14ac:dyDescent="0.55000000000000004">
      <c r="A386" s="266"/>
      <c r="B386" s="268"/>
      <c r="C386" s="268"/>
      <c r="D386" s="267"/>
      <c r="E386" s="80"/>
      <c r="F386" s="80"/>
      <c r="G386" s="79" t="s">
        <v>161</v>
      </c>
      <c r="H386" s="285" t="s">
        <v>103</v>
      </c>
      <c r="I386" s="53">
        <v>0</v>
      </c>
      <c r="J386" s="74">
        <v>0</v>
      </c>
      <c r="K386" s="54">
        <f t="shared" si="84"/>
        <v>0</v>
      </c>
      <c r="L386" s="66"/>
      <c r="M386" s="66"/>
      <c r="N386" s="66"/>
    </row>
    <row r="387" spans="1:14" ht="21.75" customHeight="1" x14ac:dyDescent="0.55000000000000004">
      <c r="A387" s="266"/>
      <c r="B387" s="268"/>
      <c r="C387" s="268"/>
      <c r="D387" s="267"/>
      <c r="E387" s="80"/>
      <c r="F387" s="80"/>
      <c r="G387" s="81"/>
      <c r="H387" s="285" t="s">
        <v>15</v>
      </c>
      <c r="I387" s="53">
        <v>0</v>
      </c>
      <c r="J387" s="74">
        <v>0</v>
      </c>
      <c r="K387" s="54">
        <f t="shared" si="84"/>
        <v>0</v>
      </c>
      <c r="L387" s="66"/>
      <c r="M387" s="66"/>
      <c r="N387" s="66"/>
    </row>
    <row r="388" spans="1:14" ht="21.75" customHeight="1" x14ac:dyDescent="0.55000000000000004">
      <c r="A388" s="266"/>
      <c r="B388" s="268"/>
      <c r="C388" s="268"/>
      <c r="D388" s="267"/>
      <c r="E388" s="80"/>
      <c r="F388" s="79" t="s">
        <v>162</v>
      </c>
      <c r="G388" s="284"/>
      <c r="H388" s="285" t="s">
        <v>103</v>
      </c>
      <c r="I388" s="53">
        <v>0</v>
      </c>
      <c r="J388" s="74">
        <v>0</v>
      </c>
      <c r="K388" s="54">
        <f t="shared" si="84"/>
        <v>0</v>
      </c>
      <c r="L388" s="66"/>
      <c r="M388" s="66"/>
      <c r="N388" s="66"/>
    </row>
    <row r="389" spans="1:14" ht="21.75" customHeight="1" x14ac:dyDescent="0.55000000000000004">
      <c r="A389" s="295"/>
      <c r="B389" s="297"/>
      <c r="C389" s="297"/>
      <c r="D389" s="296"/>
      <c r="E389" s="219"/>
      <c r="F389" s="219"/>
      <c r="G389" s="219"/>
      <c r="H389" s="298" t="s">
        <v>15</v>
      </c>
      <c r="I389" s="53">
        <v>0</v>
      </c>
      <c r="J389" s="74">
        <v>0</v>
      </c>
      <c r="K389" s="54">
        <f t="shared" si="84"/>
        <v>0</v>
      </c>
      <c r="L389" s="123"/>
      <c r="M389" s="123"/>
      <c r="N389" s="123"/>
    </row>
    <row r="390" spans="1:14" ht="21.75" customHeight="1" x14ac:dyDescent="0.55000000000000004">
      <c r="A390" s="60"/>
      <c r="B390" s="67"/>
      <c r="C390" s="279" t="s">
        <v>163</v>
      </c>
      <c r="D390" s="279"/>
      <c r="E390" s="280"/>
      <c r="F390" s="280"/>
      <c r="G390" s="281"/>
      <c r="H390" s="147" t="s">
        <v>103</v>
      </c>
      <c r="I390" s="148">
        <f ca="1">IFERROR(__xludf.DUMMYFUNCTION("IMPORTRANGE(""https://docs.google.com/spreadsheets/d/1C3CXT74ZlgGe6_JY_1olB1XN4rF0dxEuIIF-xsYjHgg/edit?usp=sharing"",""งบกองทุน!cd86"")"),0)</f>
        <v>0</v>
      </c>
      <c r="J390" s="148">
        <f>J391</f>
        <v>0</v>
      </c>
      <c r="K390" s="149">
        <f t="shared" ca="1" si="84"/>
        <v>0</v>
      </c>
      <c r="L390" s="151"/>
      <c r="M390" s="151"/>
      <c r="N390" s="151"/>
    </row>
    <row r="391" spans="1:14" ht="21.75" customHeight="1" x14ac:dyDescent="0.55000000000000004">
      <c r="A391" s="60"/>
      <c r="B391" s="67"/>
      <c r="C391" s="67"/>
      <c r="D391" s="267"/>
      <c r="E391" s="299" t="s">
        <v>164</v>
      </c>
      <c r="F391" s="300"/>
      <c r="G391" s="301"/>
      <c r="H391" s="302" t="s">
        <v>103</v>
      </c>
      <c r="I391" s="84">
        <f ca="1">IFERROR(__xludf.DUMMYFUNCTION("IMPORTRANGE(""https://docs.google.com/spreadsheets/d/1C3CXT74ZlgGe6_JY_1olB1XN4rF0dxEuIIF-xsYjHgg/edit?usp=sharing"",""งบกองทุน!cd86"")"),0)</f>
        <v>0</v>
      </c>
      <c r="J391" s="283">
        <f t="shared" ref="J391:J392" si="89">J393+J401+J407</f>
        <v>0</v>
      </c>
      <c r="K391" s="379">
        <f t="shared" ca="1" si="84"/>
        <v>0</v>
      </c>
      <c r="L391" s="66"/>
      <c r="M391" s="66"/>
      <c r="N391" s="66"/>
    </row>
    <row r="392" spans="1:14" ht="21.75" customHeight="1" x14ac:dyDescent="0.55000000000000004">
      <c r="A392" s="60"/>
      <c r="B392" s="67"/>
      <c r="C392" s="67"/>
      <c r="D392" s="61"/>
      <c r="E392" s="300"/>
      <c r="F392" s="300"/>
      <c r="G392" s="301"/>
      <c r="H392" s="302" t="s">
        <v>15</v>
      </c>
      <c r="I392" s="84">
        <f ca="1">IFERROR(__xludf.DUMMYFUNCTION("IMPORTRANGE(""https://docs.google.com/spreadsheets/d/1C3CXT74ZlgGe6_JY_1olB1XN4rF0dxEuIIF-xsYjHgg/edit?usp=sharing"",""งบกองทุน!cc86"")"),0)</f>
        <v>0</v>
      </c>
      <c r="J392" s="283">
        <f t="shared" si="89"/>
        <v>0</v>
      </c>
      <c r="K392" s="379">
        <f t="shared" ca="1" si="84"/>
        <v>0</v>
      </c>
      <c r="L392" s="66"/>
      <c r="M392" s="66"/>
      <c r="N392" s="66"/>
    </row>
    <row r="393" spans="1:14" ht="21.75" customHeight="1" x14ac:dyDescent="0.55000000000000004">
      <c r="A393" s="60"/>
      <c r="B393" s="67"/>
      <c r="C393" s="67"/>
      <c r="D393" s="267"/>
      <c r="E393" s="267" t="s">
        <v>165</v>
      </c>
      <c r="F393" s="80"/>
      <c r="G393" s="81"/>
      <c r="H393" s="285" t="s">
        <v>103</v>
      </c>
      <c r="I393" s="53">
        <v>0</v>
      </c>
      <c r="J393" s="53">
        <f t="shared" ref="J393:J394" si="90">J395+J397+J399</f>
        <v>0</v>
      </c>
      <c r="K393" s="250">
        <f t="shared" si="84"/>
        <v>0</v>
      </c>
      <c r="L393" s="66"/>
      <c r="M393" s="66"/>
      <c r="N393" s="66"/>
    </row>
    <row r="394" spans="1:14" ht="21.75" customHeight="1" x14ac:dyDescent="0.55000000000000004">
      <c r="A394" s="60"/>
      <c r="B394" s="67"/>
      <c r="C394" s="67"/>
      <c r="D394" s="61"/>
      <c r="E394" s="80"/>
      <c r="F394" s="80"/>
      <c r="G394" s="81"/>
      <c r="H394" s="285" t="s">
        <v>15</v>
      </c>
      <c r="I394" s="53">
        <v>0</v>
      </c>
      <c r="J394" s="53">
        <f t="shared" si="90"/>
        <v>0</v>
      </c>
      <c r="K394" s="250">
        <f t="shared" si="84"/>
        <v>0</v>
      </c>
      <c r="L394" s="66"/>
      <c r="M394" s="66"/>
      <c r="N394" s="66"/>
    </row>
    <row r="395" spans="1:14" ht="21.75" customHeight="1" x14ac:dyDescent="0.55000000000000004">
      <c r="A395" s="60"/>
      <c r="B395" s="67"/>
      <c r="C395" s="67"/>
      <c r="D395" s="61"/>
      <c r="E395" s="80"/>
      <c r="F395" s="260" t="s">
        <v>166</v>
      </c>
      <c r="G395" s="284"/>
      <c r="H395" s="285" t="s">
        <v>103</v>
      </c>
      <c r="I395" s="53">
        <v>0</v>
      </c>
      <c r="J395" s="74">
        <v>0</v>
      </c>
      <c r="K395" s="250">
        <f t="shared" si="84"/>
        <v>0</v>
      </c>
      <c r="L395" s="66"/>
      <c r="M395" s="66"/>
      <c r="N395" s="66"/>
    </row>
    <row r="396" spans="1:14" ht="21.75" customHeight="1" x14ac:dyDescent="0.55000000000000004">
      <c r="A396" s="60"/>
      <c r="B396" s="67"/>
      <c r="C396" s="67"/>
      <c r="D396" s="61"/>
      <c r="E396" s="80"/>
      <c r="F396" s="80"/>
      <c r="G396" s="284"/>
      <c r="H396" s="285" t="s">
        <v>15</v>
      </c>
      <c r="I396" s="53">
        <v>0</v>
      </c>
      <c r="J396" s="74">
        <v>0</v>
      </c>
      <c r="K396" s="250">
        <f t="shared" si="84"/>
        <v>0</v>
      </c>
      <c r="L396" s="66"/>
      <c r="M396" s="66"/>
      <c r="N396" s="66"/>
    </row>
    <row r="397" spans="1:14" ht="21.75" customHeight="1" x14ac:dyDescent="0.55000000000000004">
      <c r="A397" s="60"/>
      <c r="B397" s="67"/>
      <c r="C397" s="67"/>
      <c r="D397" s="61"/>
      <c r="E397" s="80"/>
      <c r="F397" s="260" t="s">
        <v>167</v>
      </c>
      <c r="G397" s="284"/>
      <c r="H397" s="285" t="s">
        <v>103</v>
      </c>
      <c r="I397" s="53">
        <v>0</v>
      </c>
      <c r="J397" s="74">
        <v>0</v>
      </c>
      <c r="K397" s="250">
        <f t="shared" si="84"/>
        <v>0</v>
      </c>
      <c r="L397" s="66"/>
      <c r="M397" s="66"/>
      <c r="N397" s="66"/>
    </row>
    <row r="398" spans="1:14" ht="21.75" customHeight="1" x14ac:dyDescent="0.55000000000000004">
      <c r="A398" s="60"/>
      <c r="B398" s="67"/>
      <c r="C398" s="67"/>
      <c r="D398" s="61"/>
      <c r="E398" s="80"/>
      <c r="F398" s="80"/>
      <c r="G398" s="284"/>
      <c r="H398" s="285" t="s">
        <v>15</v>
      </c>
      <c r="I398" s="53">
        <v>0</v>
      </c>
      <c r="J398" s="74">
        <v>0</v>
      </c>
      <c r="K398" s="250">
        <f t="shared" si="84"/>
        <v>0</v>
      </c>
      <c r="L398" s="66"/>
      <c r="M398" s="66"/>
      <c r="N398" s="66"/>
    </row>
    <row r="399" spans="1:14" ht="21.75" customHeight="1" x14ac:dyDescent="0.55000000000000004">
      <c r="A399" s="60"/>
      <c r="B399" s="67"/>
      <c r="C399" s="67"/>
      <c r="D399" s="61"/>
      <c r="E399" s="80"/>
      <c r="F399" s="260" t="s">
        <v>168</v>
      </c>
      <c r="G399" s="284"/>
      <c r="H399" s="285" t="s">
        <v>103</v>
      </c>
      <c r="I399" s="53">
        <v>0</v>
      </c>
      <c r="J399" s="74">
        <v>0</v>
      </c>
      <c r="K399" s="250">
        <f t="shared" si="84"/>
        <v>0</v>
      </c>
      <c r="L399" s="66"/>
      <c r="M399" s="66"/>
      <c r="N399" s="66"/>
    </row>
    <row r="400" spans="1:14" ht="21.75" customHeight="1" x14ac:dyDescent="0.55000000000000004">
      <c r="A400" s="60"/>
      <c r="B400" s="67"/>
      <c r="C400" s="67"/>
      <c r="D400" s="61"/>
      <c r="E400" s="80"/>
      <c r="F400" s="80"/>
      <c r="G400" s="80"/>
      <c r="H400" s="285" t="s">
        <v>15</v>
      </c>
      <c r="I400" s="53">
        <v>0</v>
      </c>
      <c r="J400" s="74">
        <v>0</v>
      </c>
      <c r="K400" s="250">
        <f t="shared" si="84"/>
        <v>0</v>
      </c>
      <c r="L400" s="66"/>
      <c r="M400" s="66"/>
      <c r="N400" s="66"/>
    </row>
    <row r="401" spans="1:14" ht="21.75" customHeight="1" x14ac:dyDescent="0.55000000000000004">
      <c r="A401" s="60"/>
      <c r="B401" s="67"/>
      <c r="C401" s="67"/>
      <c r="D401" s="61"/>
      <c r="E401" s="79" t="s">
        <v>169</v>
      </c>
      <c r="F401" s="80"/>
      <c r="G401" s="284"/>
      <c r="H401" s="285" t="s">
        <v>103</v>
      </c>
      <c r="I401" s="53">
        <v>0</v>
      </c>
      <c r="J401" s="53">
        <f t="shared" ref="J401:J402" si="91">+J403+J405</f>
        <v>0</v>
      </c>
      <c r="K401" s="250">
        <f t="shared" si="84"/>
        <v>0</v>
      </c>
      <c r="L401" s="66"/>
      <c r="M401" s="66"/>
      <c r="N401" s="66"/>
    </row>
    <row r="402" spans="1:14" ht="21.75" customHeight="1" x14ac:dyDescent="0.55000000000000004">
      <c r="A402" s="60"/>
      <c r="B402" s="67"/>
      <c r="C402" s="67"/>
      <c r="D402" s="61"/>
      <c r="E402" s="80"/>
      <c r="F402" s="80"/>
      <c r="G402" s="80"/>
      <c r="H402" s="285" t="s">
        <v>15</v>
      </c>
      <c r="I402" s="53">
        <v>0</v>
      </c>
      <c r="J402" s="53">
        <f t="shared" si="91"/>
        <v>0</v>
      </c>
      <c r="K402" s="250">
        <f t="shared" si="84"/>
        <v>0</v>
      </c>
      <c r="L402" s="66"/>
      <c r="M402" s="66"/>
      <c r="N402" s="66"/>
    </row>
    <row r="403" spans="1:14" ht="21.75" customHeight="1" x14ac:dyDescent="0.55000000000000004">
      <c r="A403" s="60"/>
      <c r="B403" s="67"/>
      <c r="C403" s="67"/>
      <c r="D403" s="61"/>
      <c r="E403" s="80"/>
      <c r="F403" s="79" t="s">
        <v>170</v>
      </c>
      <c r="G403" s="80"/>
      <c r="H403" s="285" t="s">
        <v>103</v>
      </c>
      <c r="I403" s="53">
        <v>0</v>
      </c>
      <c r="J403" s="74">
        <v>0</v>
      </c>
      <c r="K403" s="250">
        <f t="shared" si="84"/>
        <v>0</v>
      </c>
      <c r="L403" s="66"/>
      <c r="M403" s="66"/>
      <c r="N403" s="66"/>
    </row>
    <row r="404" spans="1:14" ht="21.75" customHeight="1" x14ac:dyDescent="0.55000000000000004">
      <c r="A404" s="60"/>
      <c r="B404" s="67"/>
      <c r="C404" s="67"/>
      <c r="D404" s="61"/>
      <c r="E404" s="80"/>
      <c r="F404" s="80"/>
      <c r="G404" s="80"/>
      <c r="H404" s="285" t="s">
        <v>15</v>
      </c>
      <c r="I404" s="53">
        <v>0</v>
      </c>
      <c r="J404" s="74">
        <v>0</v>
      </c>
      <c r="K404" s="250">
        <f t="shared" si="84"/>
        <v>0</v>
      </c>
      <c r="L404" s="66"/>
      <c r="M404" s="66"/>
      <c r="N404" s="66"/>
    </row>
    <row r="405" spans="1:14" ht="21.75" customHeight="1" x14ac:dyDescent="0.55000000000000004">
      <c r="A405" s="60"/>
      <c r="B405" s="67"/>
      <c r="C405" s="67"/>
      <c r="D405" s="61"/>
      <c r="E405" s="80"/>
      <c r="F405" s="79" t="s">
        <v>171</v>
      </c>
      <c r="G405" s="80"/>
      <c r="H405" s="285" t="s">
        <v>103</v>
      </c>
      <c r="I405" s="53">
        <v>0</v>
      </c>
      <c r="J405" s="74">
        <v>0</v>
      </c>
      <c r="K405" s="250">
        <f t="shared" si="84"/>
        <v>0</v>
      </c>
      <c r="L405" s="66"/>
      <c r="M405" s="66"/>
      <c r="N405" s="66"/>
    </row>
    <row r="406" spans="1:14" ht="21.75" customHeight="1" x14ac:dyDescent="0.55000000000000004">
      <c r="A406" s="60"/>
      <c r="B406" s="67"/>
      <c r="C406" s="67"/>
      <c r="D406" s="61"/>
      <c r="E406" s="80"/>
      <c r="F406" s="80"/>
      <c r="G406" s="81"/>
      <c r="H406" s="285" t="s">
        <v>15</v>
      </c>
      <c r="I406" s="53">
        <v>0</v>
      </c>
      <c r="J406" s="74">
        <v>0</v>
      </c>
      <c r="K406" s="250">
        <f t="shared" si="84"/>
        <v>0</v>
      </c>
      <c r="L406" s="66"/>
      <c r="M406" s="66"/>
      <c r="N406" s="66"/>
    </row>
    <row r="407" spans="1:14" ht="21.75" customHeight="1" x14ac:dyDescent="0.55000000000000004">
      <c r="A407" s="60"/>
      <c r="B407" s="67"/>
      <c r="C407" s="67"/>
      <c r="D407" s="267"/>
      <c r="E407" s="267" t="s">
        <v>172</v>
      </c>
      <c r="F407" s="80"/>
      <c r="G407" s="81"/>
      <c r="H407" s="285" t="s">
        <v>103</v>
      </c>
      <c r="I407" s="53">
        <v>0</v>
      </c>
      <c r="J407" s="74">
        <v>0</v>
      </c>
      <c r="K407" s="250">
        <f t="shared" si="84"/>
        <v>0</v>
      </c>
      <c r="L407" s="66"/>
      <c r="M407" s="66"/>
      <c r="N407" s="66"/>
    </row>
    <row r="408" spans="1:14" ht="21.75" customHeight="1" x14ac:dyDescent="0.55000000000000004">
      <c r="A408" s="60"/>
      <c r="B408" s="67"/>
      <c r="C408" s="67"/>
      <c r="D408" s="61"/>
      <c r="E408" s="80"/>
      <c r="F408" s="80"/>
      <c r="G408" s="81"/>
      <c r="H408" s="285" t="s">
        <v>15</v>
      </c>
      <c r="I408" s="53">
        <v>0</v>
      </c>
      <c r="J408" s="74">
        <v>0</v>
      </c>
      <c r="K408" s="250">
        <f t="shared" si="84"/>
        <v>0</v>
      </c>
      <c r="L408" s="66"/>
      <c r="M408" s="66"/>
      <c r="N408" s="66"/>
    </row>
    <row r="409" spans="1:14" ht="21.75" customHeight="1" x14ac:dyDescent="0.55000000000000004">
      <c r="A409" s="60"/>
      <c r="B409" s="67"/>
      <c r="C409" s="279" t="s">
        <v>173</v>
      </c>
      <c r="D409" s="279"/>
      <c r="E409" s="304"/>
      <c r="F409" s="304"/>
      <c r="G409" s="305"/>
      <c r="H409" s="306" t="s">
        <v>103</v>
      </c>
      <c r="I409" s="148">
        <f ca="1">IFERROR(__xludf.DUMMYFUNCTION("IMPORTRANGE(""https://docs.google.com/spreadsheets/d/1C3CXT74ZlgGe6_JY_1olB1XN4rF0dxEuIIF-xsYjHgg/edit?usp=sharing"",""งบกองทุน!cz86"")"),0)</f>
        <v>0</v>
      </c>
      <c r="J409" s="148">
        <f ca="1">+J412+J414</f>
        <v>0</v>
      </c>
      <c r="K409" s="149">
        <f t="shared" ca="1" si="84"/>
        <v>0</v>
      </c>
      <c r="L409" s="66"/>
      <c r="M409" s="66"/>
      <c r="N409" s="66"/>
    </row>
    <row r="410" spans="1:14" ht="21.75" customHeight="1" x14ac:dyDescent="0.55000000000000004">
      <c r="A410" s="60"/>
      <c r="B410" s="67"/>
      <c r="C410" s="307"/>
      <c r="D410" s="307"/>
      <c r="E410" s="307" t="s">
        <v>174</v>
      </c>
      <c r="F410" s="308"/>
      <c r="G410" s="309"/>
      <c r="H410" s="398" t="s">
        <v>103</v>
      </c>
      <c r="I410" s="399">
        <f ca="1">IFERROR(__xludf.DUMMYFUNCTION("IMPORTRANGE(""https://docs.google.com/spreadsheets/d/1C3CXT74ZlgGe6_JY_1olB1XN4rF0dxEuIIF-xsYjHgg/edit?usp=sharing"",""งบกองทุน!cz86"")"),0)</f>
        <v>0</v>
      </c>
      <c r="J410" s="399">
        <f t="shared" ref="J410:J411" ca="1" si="92">SUM(J412,J414)</f>
        <v>0</v>
      </c>
      <c r="K410" s="400">
        <f t="shared" ca="1" si="84"/>
        <v>0</v>
      </c>
      <c r="L410" s="66"/>
      <c r="M410" s="66"/>
      <c r="N410" s="66"/>
    </row>
    <row r="411" spans="1:14" ht="21.75" customHeight="1" x14ac:dyDescent="0.55000000000000004">
      <c r="A411" s="60"/>
      <c r="B411" s="67"/>
      <c r="C411" s="307"/>
      <c r="D411" s="307"/>
      <c r="E411" s="307" t="s">
        <v>175</v>
      </c>
      <c r="F411" s="308"/>
      <c r="G411" s="309"/>
      <c r="H411" s="401" t="s">
        <v>15</v>
      </c>
      <c r="I411" s="402">
        <f ca="1">IFERROR(__xludf.DUMMYFUNCTION("IMPORTRANGE(""https://docs.google.com/spreadsheets/d/1C3CXT74ZlgGe6_JY_1olB1XN4rF0dxEuIIF-xsYjHgg/edit?usp=sharing"",""งบกองทุน!cy86"")"),0)</f>
        <v>0</v>
      </c>
      <c r="J411" s="402">
        <f t="shared" ca="1" si="92"/>
        <v>0</v>
      </c>
      <c r="K411" s="403">
        <f t="shared" ca="1" si="84"/>
        <v>0</v>
      </c>
      <c r="L411" s="66"/>
      <c r="M411" s="66"/>
      <c r="N411" s="66"/>
    </row>
    <row r="412" spans="1:14" ht="21.75" customHeight="1" x14ac:dyDescent="0.55000000000000004">
      <c r="A412" s="60"/>
      <c r="B412" s="67"/>
      <c r="C412" s="67"/>
      <c r="D412" s="61"/>
      <c r="E412" s="80"/>
      <c r="F412" s="80"/>
      <c r="G412" s="105" t="s">
        <v>176</v>
      </c>
      <c r="H412" s="404" t="s">
        <v>103</v>
      </c>
      <c r="I412" s="405">
        <v>0</v>
      </c>
      <c r="J412" s="406">
        <f ca="1">IFERROR(__xludf.DUMMYFUNCTION("IMPORTRANGE(""https://docs.google.com/spreadsheets/d/1C3CXT74ZlgGe6_JY_1olB1XN4rF0dxEuIIF-xsYjHgg/edit?usp=sharing"",""งบกองทุน!db86"")"),0)</f>
        <v>0</v>
      </c>
      <c r="K412" s="407">
        <f t="shared" si="84"/>
        <v>0</v>
      </c>
      <c r="L412" s="66"/>
      <c r="M412" s="66"/>
      <c r="N412" s="66"/>
    </row>
    <row r="413" spans="1:14" ht="21.75" customHeight="1" x14ac:dyDescent="0.55000000000000004">
      <c r="A413" s="60"/>
      <c r="B413" s="67"/>
      <c r="C413" s="67"/>
      <c r="D413" s="61"/>
      <c r="E413" s="80"/>
      <c r="F413" s="80"/>
      <c r="G413" s="81"/>
      <c r="H413" s="404" t="s">
        <v>15</v>
      </c>
      <c r="I413" s="405">
        <v>0</v>
      </c>
      <c r="J413" s="406">
        <f ca="1">IFERROR(__xludf.DUMMYFUNCTION("IMPORTRANGE(""https://docs.google.com/spreadsheets/d/1C3CXT74ZlgGe6_JY_1olB1XN4rF0dxEuIIF-xsYjHgg/edit?usp=sharing"",""งบกองทุน!da86"")"),0)</f>
        <v>0</v>
      </c>
      <c r="K413" s="407">
        <f t="shared" si="84"/>
        <v>0</v>
      </c>
      <c r="L413" s="66"/>
      <c r="M413" s="66"/>
      <c r="N413" s="66"/>
    </row>
    <row r="414" spans="1:14" ht="21.75" customHeight="1" x14ac:dyDescent="0.55000000000000004">
      <c r="A414" s="60"/>
      <c r="B414" s="67"/>
      <c r="C414" s="67"/>
      <c r="D414" s="61"/>
      <c r="E414" s="80"/>
      <c r="F414" s="80"/>
      <c r="G414" s="105" t="s">
        <v>177</v>
      </c>
      <c r="H414" s="404" t="s">
        <v>103</v>
      </c>
      <c r="I414" s="405">
        <v>0</v>
      </c>
      <c r="J414" s="406">
        <f ca="1">IFERROR(__xludf.DUMMYFUNCTION("IMPORTRANGE(""https://docs.google.com/spreadsheets/d/1C3CXT74ZlgGe6_JY_1olB1XN4rF0dxEuIIF-xsYjHgg/edit?usp=sharing"",""งบกองทุน!dd86"")"),0)</f>
        <v>0</v>
      </c>
      <c r="K414" s="407">
        <f t="shared" si="84"/>
        <v>0</v>
      </c>
      <c r="L414" s="66"/>
      <c r="M414" s="66"/>
      <c r="N414" s="66"/>
    </row>
    <row r="415" spans="1:14" ht="21.75" customHeight="1" x14ac:dyDescent="0.55000000000000004">
      <c r="A415" s="60"/>
      <c r="B415" s="67"/>
      <c r="C415" s="67"/>
      <c r="D415" s="61"/>
      <c r="E415" s="80"/>
      <c r="F415" s="80"/>
      <c r="G415" s="81"/>
      <c r="H415" s="404" t="s">
        <v>15</v>
      </c>
      <c r="I415" s="405">
        <v>0</v>
      </c>
      <c r="J415" s="406">
        <f ca="1">IFERROR(__xludf.DUMMYFUNCTION("IMPORTRANGE(""https://docs.google.com/spreadsheets/d/1C3CXT74ZlgGe6_JY_1olB1XN4rF0dxEuIIF-xsYjHgg/edit?usp=sharing"",""งบกองทุน!dc86"")"),0)</f>
        <v>0</v>
      </c>
      <c r="K415" s="407">
        <f t="shared" si="84"/>
        <v>0</v>
      </c>
      <c r="L415" s="66"/>
      <c r="M415" s="66"/>
      <c r="N415" s="66"/>
    </row>
    <row r="416" spans="1:14" ht="21.75" customHeight="1" x14ac:dyDescent="0.55000000000000004">
      <c r="A416" s="60"/>
      <c r="B416" s="67"/>
      <c r="C416" s="67"/>
      <c r="D416" s="61"/>
      <c r="E416" s="80"/>
      <c r="F416" s="80"/>
      <c r="G416" s="105" t="s">
        <v>178</v>
      </c>
      <c r="H416" s="404" t="s">
        <v>103</v>
      </c>
      <c r="I416" s="405">
        <v>0</v>
      </c>
      <c r="J416" s="406">
        <f ca="1">IFERROR(__xludf.DUMMYFUNCTION("IMPORTRANGE(""https://docs.google.com/spreadsheets/d/1C3CXT74ZlgGe6_JY_1olB1XN4rF0dxEuIIF-xsYjHgg/edit?usp=sharing"",""งบกองทุน!df86"")"),0)</f>
        <v>0</v>
      </c>
      <c r="K416" s="407">
        <f t="shared" si="84"/>
        <v>0</v>
      </c>
      <c r="L416" s="66"/>
      <c r="M416" s="66"/>
      <c r="N416" s="66"/>
    </row>
    <row r="417" spans="1:14" ht="21.75" customHeight="1" x14ac:dyDescent="0.55000000000000004">
      <c r="A417" s="60"/>
      <c r="B417" s="67"/>
      <c r="C417" s="67"/>
      <c r="D417" s="61"/>
      <c r="E417" s="80"/>
      <c r="F417" s="80"/>
      <c r="G417" s="81"/>
      <c r="H417" s="404" t="s">
        <v>15</v>
      </c>
      <c r="I417" s="405">
        <v>0</v>
      </c>
      <c r="J417" s="406">
        <f ca="1">IFERROR(__xludf.DUMMYFUNCTION("IMPORTRANGE(""https://docs.google.com/spreadsheets/d/1C3CXT74ZlgGe6_JY_1olB1XN4rF0dxEuIIF-xsYjHgg/edit?usp=sharing"",""งบกองทุน!de86"")"),0)</f>
        <v>0</v>
      </c>
      <c r="K417" s="407">
        <f t="shared" si="84"/>
        <v>0</v>
      </c>
      <c r="L417" s="66"/>
      <c r="M417" s="66"/>
      <c r="N417" s="66"/>
    </row>
    <row r="418" spans="1:14" ht="21.75" customHeight="1" x14ac:dyDescent="0.55000000000000004">
      <c r="A418" s="60"/>
      <c r="B418" s="67"/>
      <c r="C418" s="307"/>
      <c r="D418" s="307"/>
      <c r="E418" s="307" t="s">
        <v>179</v>
      </c>
      <c r="F418" s="308"/>
      <c r="G418" s="309"/>
      <c r="H418" s="401" t="s">
        <v>103</v>
      </c>
      <c r="I418" s="408">
        <f t="shared" ref="I418:I419" ca="1" si="93">J416</f>
        <v>0</v>
      </c>
      <c r="J418" s="408">
        <f t="shared" ref="J418:J419" si="94">SUM(J420,J422,J424)</f>
        <v>0</v>
      </c>
      <c r="K418" s="409">
        <f t="shared" ca="1" si="84"/>
        <v>0</v>
      </c>
      <c r="L418" s="66"/>
      <c r="M418" s="66"/>
      <c r="N418" s="66"/>
    </row>
    <row r="419" spans="1:14" ht="21.75" customHeight="1" x14ac:dyDescent="0.55000000000000004">
      <c r="A419" s="60"/>
      <c r="B419" s="67"/>
      <c r="C419" s="307"/>
      <c r="D419" s="307"/>
      <c r="E419" s="307" t="s">
        <v>180</v>
      </c>
      <c r="F419" s="308"/>
      <c r="G419" s="309"/>
      <c r="H419" s="401" t="s">
        <v>15</v>
      </c>
      <c r="I419" s="408">
        <f t="shared" ca="1" si="93"/>
        <v>0</v>
      </c>
      <c r="J419" s="408">
        <f t="shared" si="94"/>
        <v>0</v>
      </c>
      <c r="K419" s="409">
        <f t="shared" ca="1" si="84"/>
        <v>0</v>
      </c>
      <c r="L419" s="66"/>
      <c r="M419" s="66"/>
      <c r="N419" s="66"/>
    </row>
    <row r="420" spans="1:14" ht="21.75" customHeight="1" x14ac:dyDescent="0.55000000000000004">
      <c r="A420" s="60"/>
      <c r="B420" s="67"/>
      <c r="C420" s="67"/>
      <c r="D420" s="61"/>
      <c r="E420" s="80"/>
      <c r="F420" s="80"/>
      <c r="G420" s="105" t="s">
        <v>176</v>
      </c>
      <c r="H420" s="404" t="s">
        <v>103</v>
      </c>
      <c r="I420" s="405">
        <v>0</v>
      </c>
      <c r="J420" s="410">
        <v>0</v>
      </c>
      <c r="K420" s="411">
        <f t="shared" si="84"/>
        <v>0</v>
      </c>
      <c r="L420" s="66"/>
      <c r="M420" s="66"/>
      <c r="N420" s="66"/>
    </row>
    <row r="421" spans="1:14" ht="21.75" customHeight="1" x14ac:dyDescent="0.55000000000000004">
      <c r="A421" s="60"/>
      <c r="B421" s="67"/>
      <c r="C421" s="67"/>
      <c r="D421" s="61"/>
      <c r="E421" s="80"/>
      <c r="F421" s="80"/>
      <c r="G421" s="81"/>
      <c r="H421" s="404" t="s">
        <v>15</v>
      </c>
      <c r="I421" s="405">
        <v>0</v>
      </c>
      <c r="J421" s="410">
        <v>0</v>
      </c>
      <c r="K421" s="411">
        <f t="shared" si="84"/>
        <v>0</v>
      </c>
      <c r="L421" s="66"/>
      <c r="M421" s="66"/>
      <c r="N421" s="66"/>
    </row>
    <row r="422" spans="1:14" ht="21.75" customHeight="1" x14ac:dyDescent="0.55000000000000004">
      <c r="A422" s="60"/>
      <c r="B422" s="67"/>
      <c r="C422" s="67"/>
      <c r="D422" s="61"/>
      <c r="E422" s="80"/>
      <c r="F422" s="80"/>
      <c r="G422" s="105" t="s">
        <v>177</v>
      </c>
      <c r="H422" s="404" t="s">
        <v>103</v>
      </c>
      <c r="I422" s="405">
        <v>0</v>
      </c>
      <c r="J422" s="410">
        <v>0</v>
      </c>
      <c r="K422" s="411">
        <f t="shared" si="84"/>
        <v>0</v>
      </c>
      <c r="L422" s="66"/>
      <c r="M422" s="66"/>
      <c r="N422" s="66"/>
    </row>
    <row r="423" spans="1:14" ht="21.75" customHeight="1" x14ac:dyDescent="0.55000000000000004">
      <c r="A423" s="60"/>
      <c r="B423" s="67"/>
      <c r="C423" s="67"/>
      <c r="D423" s="61"/>
      <c r="E423" s="80"/>
      <c r="F423" s="80"/>
      <c r="G423" s="81"/>
      <c r="H423" s="404" t="s">
        <v>15</v>
      </c>
      <c r="I423" s="405">
        <v>0</v>
      </c>
      <c r="J423" s="410">
        <v>0</v>
      </c>
      <c r="K423" s="411">
        <f t="shared" si="84"/>
        <v>0</v>
      </c>
      <c r="L423" s="66"/>
      <c r="M423" s="66"/>
      <c r="N423" s="66"/>
    </row>
    <row r="424" spans="1:14" ht="21.75" customHeight="1" x14ac:dyDescent="0.55000000000000004">
      <c r="A424" s="60"/>
      <c r="B424" s="67"/>
      <c r="C424" s="67"/>
      <c r="D424" s="61"/>
      <c r="E424" s="80"/>
      <c r="F424" s="80"/>
      <c r="G424" s="105" t="s">
        <v>181</v>
      </c>
      <c r="H424" s="404" t="s">
        <v>103</v>
      </c>
      <c r="I424" s="405">
        <v>0</v>
      </c>
      <c r="J424" s="410">
        <v>0</v>
      </c>
      <c r="K424" s="411">
        <f t="shared" si="84"/>
        <v>0</v>
      </c>
      <c r="L424" s="66"/>
      <c r="M424" s="66"/>
      <c r="N424" s="66"/>
    </row>
    <row r="425" spans="1:14" ht="21.75" customHeight="1" x14ac:dyDescent="0.55000000000000004">
      <c r="A425" s="311"/>
      <c r="B425" s="313"/>
      <c r="C425" s="313"/>
      <c r="D425" s="312"/>
      <c r="E425" s="314"/>
      <c r="F425" s="314"/>
      <c r="G425" s="315"/>
      <c r="H425" s="412" t="s">
        <v>15</v>
      </c>
      <c r="I425" s="413">
        <v>0</v>
      </c>
      <c r="J425" s="414">
        <v>0</v>
      </c>
      <c r="K425" s="415">
        <f t="shared" si="84"/>
        <v>0</v>
      </c>
      <c r="L425" s="320"/>
      <c r="M425" s="320"/>
      <c r="N425" s="320"/>
    </row>
    <row r="426" spans="1:14" ht="21.75" customHeight="1" x14ac:dyDescent="0.55000000000000004">
      <c r="A426" s="269"/>
      <c r="B426" s="271">
        <v>6</v>
      </c>
      <c r="C426" s="272" t="s">
        <v>182</v>
      </c>
      <c r="D426" s="272"/>
      <c r="E426" s="272"/>
      <c r="F426" s="272"/>
      <c r="G426" s="273"/>
      <c r="H426" s="274" t="s">
        <v>16</v>
      </c>
      <c r="I426" s="321">
        <f t="shared" ref="I426:J426" ca="1" si="95">I440</f>
        <v>20</v>
      </c>
      <c r="J426" s="275">
        <f t="shared" si="95"/>
        <v>0</v>
      </c>
      <c r="K426" s="276">
        <f ca="1">IF(I426&gt;0,J426*100/I426,0)</f>
        <v>0</v>
      </c>
      <c r="L426" s="277">
        <f t="shared" ref="L426:M426" ca="1" si="96">SUM(L427:L428)</f>
        <v>32640</v>
      </c>
      <c r="M426" s="277">
        <f t="shared" si="96"/>
        <v>26889.200000000001</v>
      </c>
      <c r="N426" s="277">
        <f t="shared" ref="N426:N430" ca="1" si="97">+IF(L426&gt;0,M426*100/L426,0)</f>
        <v>82.381127450980387</v>
      </c>
    </row>
    <row r="427" spans="1:14" ht="21.75" customHeight="1" x14ac:dyDescent="0.55000000000000004">
      <c r="A427" s="46"/>
      <c r="B427" s="48"/>
      <c r="C427" s="48" t="s">
        <v>17</v>
      </c>
      <c r="D427" s="49" t="s">
        <v>18</v>
      </c>
      <c r="E427" s="50"/>
      <c r="F427" s="50"/>
      <c r="G427" s="51" t="s">
        <v>19</v>
      </c>
      <c r="H427" s="52" t="s">
        <v>20</v>
      </c>
      <c r="I427" s="53" t="s">
        <v>21</v>
      </c>
      <c r="J427" s="53"/>
      <c r="K427" s="54"/>
      <c r="L427" s="55">
        <v>0</v>
      </c>
      <c r="M427" s="58">
        <v>0</v>
      </c>
      <c r="N427" s="58">
        <f t="shared" si="97"/>
        <v>0</v>
      </c>
    </row>
    <row r="428" spans="1:14" ht="21.75" customHeight="1" x14ac:dyDescent="0.55000000000000004">
      <c r="A428" s="46"/>
      <c r="B428" s="48"/>
      <c r="C428" s="48"/>
      <c r="D428" s="56"/>
      <c r="E428" s="50"/>
      <c r="F428" s="50" t="s">
        <v>21</v>
      </c>
      <c r="G428" s="51" t="s">
        <v>22</v>
      </c>
      <c r="H428" s="52" t="s">
        <v>20</v>
      </c>
      <c r="I428" s="53"/>
      <c r="J428" s="53"/>
      <c r="K428" s="54"/>
      <c r="L428" s="55">
        <f t="shared" ref="L428:M428" ca="1" si="98">SUM(L429:L430)</f>
        <v>32640</v>
      </c>
      <c r="M428" s="58">
        <f t="shared" si="98"/>
        <v>26889.200000000001</v>
      </c>
      <c r="N428" s="58">
        <f t="shared" ca="1" si="97"/>
        <v>82.381127450980387</v>
      </c>
    </row>
    <row r="429" spans="1:14" ht="21.75" customHeight="1" x14ac:dyDescent="0.55000000000000004">
      <c r="A429" s="46"/>
      <c r="B429" s="48"/>
      <c r="C429" s="48"/>
      <c r="D429" s="56"/>
      <c r="E429" s="50"/>
      <c r="F429" s="50"/>
      <c r="G429" s="57" t="s">
        <v>110</v>
      </c>
      <c r="H429" s="52" t="s">
        <v>20</v>
      </c>
      <c r="I429" s="53"/>
      <c r="J429" s="53"/>
      <c r="K429" s="54"/>
      <c r="L429" s="58">
        <f ca="1">IFERROR(__xludf.DUMMYFUNCTION("IMPORTRANGE(""https://docs.google.com/spreadsheets/d/1C3CXT74ZlgGe6_JY_1olB1XN4rF0dxEuIIF-xsYjHgg/edit?usp=sharing"",""งบกองทุน!dn86"")"),0)</f>
        <v>0</v>
      </c>
      <c r="M429" s="58">
        <v>0</v>
      </c>
      <c r="N429" s="58">
        <f t="shared" ca="1" si="97"/>
        <v>0</v>
      </c>
    </row>
    <row r="430" spans="1:14" ht="21.75" customHeight="1" x14ac:dyDescent="0.55000000000000004">
      <c r="A430" s="46"/>
      <c r="B430" s="48"/>
      <c r="C430" s="48"/>
      <c r="D430" s="56"/>
      <c r="E430" s="50"/>
      <c r="F430" s="50"/>
      <c r="G430" s="57" t="s">
        <v>111</v>
      </c>
      <c r="H430" s="52" t="s">
        <v>20</v>
      </c>
      <c r="I430" s="53"/>
      <c r="J430" s="53"/>
      <c r="K430" s="54"/>
      <c r="L430" s="58">
        <f ca="1">IFERROR(__xludf.DUMMYFUNCTION("IMPORTRANGE(""https://docs.google.com/spreadsheets/d/1C3CXT74ZlgGe6_JY_1olB1XN4rF0dxEuIIF-xsYjHgg/edit?usp=sharing"",""งบกองทุน!do86"")"),32640)</f>
        <v>32640</v>
      </c>
      <c r="M430" s="58">
        <f>SUM(M431:M434)</f>
        <v>26889.200000000001</v>
      </c>
      <c r="N430" s="58">
        <f t="shared" ca="1" si="97"/>
        <v>82.381127450980387</v>
      </c>
    </row>
    <row r="431" spans="1:14" ht="21.75" customHeight="1" x14ac:dyDescent="0.55000000000000004">
      <c r="A431" s="247"/>
      <c r="B431" s="329"/>
      <c r="C431" s="48"/>
      <c r="D431" s="249"/>
      <c r="E431" s="50"/>
      <c r="F431" s="50"/>
      <c r="G431" s="51" t="s">
        <v>112</v>
      </c>
      <c r="H431" s="52" t="s">
        <v>20</v>
      </c>
      <c r="I431" s="73"/>
      <c r="J431" s="73"/>
      <c r="K431" s="250"/>
      <c r="L431" s="58"/>
      <c r="M431" s="59">
        <v>17040</v>
      </c>
      <c r="N431" s="58"/>
    </row>
    <row r="432" spans="1:14" ht="21.75" customHeight="1" x14ac:dyDescent="0.55000000000000004">
      <c r="A432" s="247"/>
      <c r="B432" s="329"/>
      <c r="C432" s="48"/>
      <c r="D432" s="249"/>
      <c r="E432" s="50"/>
      <c r="F432" s="50"/>
      <c r="G432" s="51" t="s">
        <v>113</v>
      </c>
      <c r="H432" s="52" t="s">
        <v>20</v>
      </c>
      <c r="I432" s="73"/>
      <c r="J432" s="73"/>
      <c r="K432" s="250"/>
      <c r="L432" s="58"/>
      <c r="M432" s="59">
        <v>0</v>
      </c>
      <c r="N432" s="58"/>
    </row>
    <row r="433" spans="1:14" ht="21.75" customHeight="1" x14ac:dyDescent="0.55000000000000004">
      <c r="A433" s="247"/>
      <c r="B433" s="329"/>
      <c r="C433" s="48"/>
      <c r="D433" s="249"/>
      <c r="E433" s="50"/>
      <c r="F433" s="50"/>
      <c r="G433" s="51" t="s">
        <v>114</v>
      </c>
      <c r="H433" s="52" t="s">
        <v>20</v>
      </c>
      <c r="I433" s="73"/>
      <c r="J433" s="73"/>
      <c r="K433" s="250"/>
      <c r="L433" s="58"/>
      <c r="M433" s="59">
        <v>0</v>
      </c>
      <c r="N433" s="58"/>
    </row>
    <row r="434" spans="1:14" ht="21.75" customHeight="1" x14ac:dyDescent="0.55000000000000004">
      <c r="A434" s="247"/>
      <c r="B434" s="329"/>
      <c r="C434" s="48"/>
      <c r="D434" s="249"/>
      <c r="E434" s="50"/>
      <c r="F434" s="50"/>
      <c r="G434" s="51" t="s">
        <v>115</v>
      </c>
      <c r="H434" s="52" t="s">
        <v>20</v>
      </c>
      <c r="I434" s="73"/>
      <c r="J434" s="73"/>
      <c r="K434" s="250"/>
      <c r="L434" s="58"/>
      <c r="M434" s="59">
        <v>9849.2000000000007</v>
      </c>
      <c r="N434" s="58"/>
    </row>
    <row r="435" spans="1:14" ht="21.75" customHeight="1" x14ac:dyDescent="0.55000000000000004">
      <c r="A435" s="60"/>
      <c r="B435" s="67"/>
      <c r="C435" s="48" t="s">
        <v>17</v>
      </c>
      <c r="D435" s="62" t="s">
        <v>25</v>
      </c>
      <c r="E435" s="63"/>
      <c r="F435" s="63"/>
      <c r="G435" s="64"/>
      <c r="H435" s="65"/>
      <c r="I435" s="53"/>
      <c r="J435" s="53"/>
      <c r="K435" s="54"/>
      <c r="L435" s="66"/>
      <c r="M435" s="66"/>
      <c r="N435" s="66"/>
    </row>
    <row r="436" spans="1:14" ht="21.75" customHeight="1" x14ac:dyDescent="0.55000000000000004">
      <c r="A436" s="60"/>
      <c r="B436" s="67"/>
      <c r="C436" s="67"/>
      <c r="D436" s="68">
        <v>1</v>
      </c>
      <c r="E436" s="69" t="s">
        <v>26</v>
      </c>
      <c r="F436" s="70"/>
      <c r="G436" s="71"/>
      <c r="H436" s="72"/>
      <c r="I436" s="73"/>
      <c r="J436" s="74">
        <v>0</v>
      </c>
      <c r="K436" s="54"/>
      <c r="L436" s="66"/>
      <c r="M436" s="66"/>
      <c r="N436" s="66"/>
    </row>
    <row r="437" spans="1:14" ht="21.75" customHeight="1" x14ac:dyDescent="0.55000000000000004">
      <c r="A437" s="60"/>
      <c r="B437" s="67"/>
      <c r="C437" s="67"/>
      <c r="D437" s="75">
        <v>2</v>
      </c>
      <c r="E437" s="76" t="s">
        <v>27</v>
      </c>
      <c r="F437" s="77"/>
      <c r="G437" s="78"/>
      <c r="H437" s="72"/>
      <c r="I437" s="73"/>
      <c r="J437" s="74">
        <v>0</v>
      </c>
      <c r="K437" s="54"/>
      <c r="L437" s="66" t="s">
        <v>21</v>
      </c>
      <c r="M437" s="66" t="s">
        <v>21</v>
      </c>
      <c r="N437" s="66"/>
    </row>
    <row r="438" spans="1:14" ht="21.75" customHeight="1" x14ac:dyDescent="0.55000000000000004">
      <c r="A438" s="60"/>
      <c r="B438" s="67"/>
      <c r="C438" s="67"/>
      <c r="D438" s="61"/>
      <c r="E438" s="79" t="s">
        <v>28</v>
      </c>
      <c r="F438" s="80"/>
      <c r="G438" s="81"/>
      <c r="H438" s="72"/>
      <c r="I438" s="73"/>
      <c r="J438" s="74">
        <v>1</v>
      </c>
      <c r="K438" s="54"/>
      <c r="L438" s="66"/>
      <c r="M438" s="66"/>
      <c r="N438" s="66"/>
    </row>
    <row r="439" spans="1:14" ht="21.75" customHeight="1" x14ac:dyDescent="0.55000000000000004">
      <c r="A439" s="60"/>
      <c r="B439" s="67"/>
      <c r="C439" s="67"/>
      <c r="D439" s="61"/>
      <c r="E439" s="79" t="s">
        <v>29</v>
      </c>
      <c r="F439" s="80"/>
      <c r="G439" s="81"/>
      <c r="H439" s="72"/>
      <c r="I439" s="73"/>
      <c r="J439" s="74">
        <v>0</v>
      </c>
      <c r="K439" s="54"/>
      <c r="L439" s="66"/>
      <c r="M439" s="66"/>
      <c r="N439" s="66"/>
    </row>
    <row r="440" spans="1:14" ht="21.75" customHeight="1" x14ac:dyDescent="0.55000000000000004">
      <c r="A440" s="60"/>
      <c r="B440" s="67"/>
      <c r="C440" s="67"/>
      <c r="D440" s="61"/>
      <c r="E440" s="82"/>
      <c r="F440" s="80"/>
      <c r="G440" s="105" t="s">
        <v>183</v>
      </c>
      <c r="H440" s="72" t="s">
        <v>16</v>
      </c>
      <c r="I440" s="214">
        <f ca="1">IFERROR(__xludf.DUMMYFUNCTION("IMPORTRANGE(""https://docs.google.com/spreadsheets/d/1C3CXT74ZlgGe6_JY_1olB1XN4rF0dxEuIIF-xsYjHgg/edit?usp=sharing"",""งบกองทุน!dq86"")"),20)</f>
        <v>20</v>
      </c>
      <c r="J440" s="74">
        <v>0</v>
      </c>
      <c r="K440" s="54">
        <f t="shared" ref="K440:K441" ca="1" si="99">IF(I440&gt;0,J440*100/I440,0)</f>
        <v>0</v>
      </c>
      <c r="L440" s="66"/>
      <c r="M440" s="66"/>
      <c r="N440" s="66"/>
    </row>
    <row r="441" spans="1:14" ht="21.75" hidden="1" customHeight="1" x14ac:dyDescent="0.55000000000000004">
      <c r="A441" s="60"/>
      <c r="B441" s="67"/>
      <c r="C441" s="67"/>
      <c r="D441" s="61"/>
      <c r="E441" s="82"/>
      <c r="F441" s="80"/>
      <c r="G441" s="105" t="s">
        <v>184</v>
      </c>
      <c r="H441" s="72" t="s">
        <v>16</v>
      </c>
      <c r="I441" s="214">
        <f ca="1">IFERROR(__xludf.DUMMYFUNCTION("IMPORTRANGE(""https://docs.google.com/spreadsheets/d/1C3CXT74ZlgGe6_JY_1olB1XN4rF0dxEuIIF-xsYjHgg/edit?usp=sharing"",""งบกองทุน!dr86"")"),20)</f>
        <v>20</v>
      </c>
      <c r="J441" s="74">
        <v>0</v>
      </c>
      <c r="K441" s="54">
        <f t="shared" ca="1" si="99"/>
        <v>0</v>
      </c>
      <c r="L441" s="66"/>
      <c r="M441" s="66"/>
      <c r="N441" s="66"/>
    </row>
    <row r="442" spans="1:14" ht="21.75" customHeight="1" x14ac:dyDescent="0.55000000000000004">
      <c r="A442" s="60"/>
      <c r="B442" s="67"/>
      <c r="C442" s="67"/>
      <c r="D442" s="61"/>
      <c r="E442" s="79" t="s">
        <v>35</v>
      </c>
      <c r="F442" s="80"/>
      <c r="G442" s="81"/>
      <c r="H442" s="72"/>
      <c r="I442" s="73"/>
      <c r="J442" s="74">
        <v>1</v>
      </c>
      <c r="K442" s="54"/>
      <c r="L442" s="66"/>
      <c r="M442" s="66"/>
      <c r="N442" s="66"/>
    </row>
    <row r="443" spans="1:14" ht="21.75" customHeight="1" x14ac:dyDescent="0.55000000000000004">
      <c r="A443" s="311"/>
      <c r="B443" s="313"/>
      <c r="C443" s="313"/>
      <c r="D443" s="322">
        <v>3</v>
      </c>
      <c r="E443" s="323" t="s">
        <v>36</v>
      </c>
      <c r="F443" s="324"/>
      <c r="G443" s="325"/>
      <c r="H443" s="326"/>
      <c r="I443" s="327"/>
      <c r="J443" s="328">
        <v>1</v>
      </c>
      <c r="K443" s="319"/>
      <c r="L443" s="320"/>
      <c r="M443" s="320"/>
      <c r="N443" s="320"/>
    </row>
    <row r="444" spans="1:14" ht="21.75" customHeight="1" x14ac:dyDescent="0.55000000000000004">
      <c r="A444" s="269"/>
      <c r="B444" s="271">
        <v>7</v>
      </c>
      <c r="C444" s="272" t="s">
        <v>185</v>
      </c>
      <c r="D444" s="272"/>
      <c r="E444" s="272"/>
      <c r="F444" s="272"/>
      <c r="G444" s="273"/>
      <c r="H444" s="274" t="s">
        <v>103</v>
      </c>
      <c r="I444" s="275">
        <f t="shared" ref="I444:J444" ca="1" si="100">SUM(I453,I455)</f>
        <v>0</v>
      </c>
      <c r="J444" s="275">
        <f t="shared" si="100"/>
        <v>0</v>
      </c>
      <c r="K444" s="276">
        <f ca="1">IF(I444&gt;0,J444*100/I444,0)</f>
        <v>0</v>
      </c>
      <c r="L444" s="277">
        <f t="shared" ref="L444:M444" ca="1" si="101">SUM(L445:L446)</f>
        <v>0</v>
      </c>
      <c r="M444" s="277">
        <f t="shared" si="101"/>
        <v>0</v>
      </c>
      <c r="N444" s="277">
        <f t="shared" ref="N444:N448" ca="1" si="102">+IF(L444&gt;0,M444*100/L444,0)</f>
        <v>0</v>
      </c>
    </row>
    <row r="445" spans="1:14" ht="21.75" customHeight="1" x14ac:dyDescent="0.55000000000000004">
      <c r="A445" s="46"/>
      <c r="B445" s="48"/>
      <c r="C445" s="48" t="s">
        <v>17</v>
      </c>
      <c r="D445" s="49" t="s">
        <v>18</v>
      </c>
      <c r="E445" s="50"/>
      <c r="F445" s="50"/>
      <c r="G445" s="51" t="s">
        <v>19</v>
      </c>
      <c r="H445" s="52" t="s">
        <v>20</v>
      </c>
      <c r="I445" s="73" t="s">
        <v>21</v>
      </c>
      <c r="J445" s="73"/>
      <c r="K445" s="250"/>
      <c r="L445" s="55">
        <v>0</v>
      </c>
      <c r="M445" s="58">
        <v>0</v>
      </c>
      <c r="N445" s="58">
        <f t="shared" si="102"/>
        <v>0</v>
      </c>
    </row>
    <row r="446" spans="1:14" ht="21.75" customHeight="1" x14ac:dyDescent="0.55000000000000004">
      <c r="A446" s="46"/>
      <c r="B446" s="48"/>
      <c r="C446" s="48"/>
      <c r="D446" s="56"/>
      <c r="E446" s="50"/>
      <c r="F446" s="50" t="s">
        <v>21</v>
      </c>
      <c r="G446" s="51" t="s">
        <v>22</v>
      </c>
      <c r="H446" s="52" t="s">
        <v>20</v>
      </c>
      <c r="I446" s="73"/>
      <c r="J446" s="73"/>
      <c r="K446" s="250"/>
      <c r="L446" s="55">
        <f t="shared" ref="L446:M446" ca="1" si="103">SUM(L447:L448)</f>
        <v>0</v>
      </c>
      <c r="M446" s="58">
        <f t="shared" si="103"/>
        <v>0</v>
      </c>
      <c r="N446" s="58">
        <f t="shared" ca="1" si="102"/>
        <v>0</v>
      </c>
    </row>
    <row r="447" spans="1:14" ht="21.75" customHeight="1" x14ac:dyDescent="0.55000000000000004">
      <c r="A447" s="46"/>
      <c r="B447" s="48"/>
      <c r="C447" s="48"/>
      <c r="D447" s="56"/>
      <c r="E447" s="50"/>
      <c r="F447" s="50"/>
      <c r="G447" s="57" t="s">
        <v>110</v>
      </c>
      <c r="H447" s="52" t="s">
        <v>20</v>
      </c>
      <c r="I447" s="73"/>
      <c r="J447" s="73"/>
      <c r="K447" s="250"/>
      <c r="L447" s="58">
        <f ca="1">IFERROR(__xludf.DUMMYFUNCTION("IMPORTRANGE(""https://docs.google.com/spreadsheets/d/1C3CXT74ZlgGe6_JY_1olB1XN4rF0dxEuIIF-xsYjHgg/edit?usp=sharing"",""งบกองทุน!dt86"")"),0)</f>
        <v>0</v>
      </c>
      <c r="M447" s="58">
        <v>0</v>
      </c>
      <c r="N447" s="58">
        <f t="shared" ca="1" si="102"/>
        <v>0</v>
      </c>
    </row>
    <row r="448" spans="1:14" ht="21.75" customHeight="1" x14ac:dyDescent="0.55000000000000004">
      <c r="A448" s="46"/>
      <c r="B448" s="48"/>
      <c r="C448" s="48"/>
      <c r="D448" s="56"/>
      <c r="E448" s="50"/>
      <c r="F448" s="50"/>
      <c r="G448" s="57" t="s">
        <v>111</v>
      </c>
      <c r="H448" s="52" t="s">
        <v>20</v>
      </c>
      <c r="I448" s="73"/>
      <c r="J448" s="73"/>
      <c r="K448" s="250"/>
      <c r="L448" s="58">
        <f ca="1">IFERROR(__xludf.DUMMYFUNCTION("IMPORTRANGE(""https://docs.google.com/spreadsheets/d/1C3CXT74ZlgGe6_JY_1olB1XN4rF0dxEuIIF-xsYjHgg/edit?usp=sharing"",""งบกองทุน!du86"")"),0)</f>
        <v>0</v>
      </c>
      <c r="M448" s="58">
        <f>SUM(M449:M452)</f>
        <v>0</v>
      </c>
      <c r="N448" s="58">
        <f t="shared" ca="1" si="102"/>
        <v>0</v>
      </c>
    </row>
    <row r="449" spans="1:14" ht="21.75" customHeight="1" x14ac:dyDescent="0.55000000000000004">
      <c r="A449" s="247"/>
      <c r="B449" s="329"/>
      <c r="C449" s="48"/>
      <c r="D449" s="249"/>
      <c r="E449" s="50"/>
      <c r="F449" s="50"/>
      <c r="G449" s="51" t="s">
        <v>112</v>
      </c>
      <c r="H449" s="52" t="s">
        <v>20</v>
      </c>
      <c r="I449" s="73"/>
      <c r="J449" s="73"/>
      <c r="K449" s="250"/>
      <c r="L449" s="58"/>
      <c r="M449" s="58">
        <v>0</v>
      </c>
      <c r="N449" s="58"/>
    </row>
    <row r="450" spans="1:14" ht="21.75" customHeight="1" x14ac:dyDescent="0.55000000000000004">
      <c r="A450" s="247"/>
      <c r="B450" s="329"/>
      <c r="C450" s="48"/>
      <c r="D450" s="249"/>
      <c r="E450" s="50"/>
      <c r="F450" s="50"/>
      <c r="G450" s="51" t="s">
        <v>113</v>
      </c>
      <c r="H450" s="52" t="s">
        <v>20</v>
      </c>
      <c r="I450" s="73"/>
      <c r="J450" s="73"/>
      <c r="K450" s="250"/>
      <c r="L450" s="58"/>
      <c r="M450" s="58">
        <v>0</v>
      </c>
      <c r="N450" s="58"/>
    </row>
    <row r="451" spans="1:14" ht="21.75" customHeight="1" x14ac:dyDescent="0.55000000000000004">
      <c r="A451" s="247"/>
      <c r="B451" s="329"/>
      <c r="C451" s="48"/>
      <c r="D451" s="249"/>
      <c r="E451" s="50"/>
      <c r="F451" s="50"/>
      <c r="G451" s="51" t="s">
        <v>114</v>
      </c>
      <c r="H451" s="52" t="s">
        <v>20</v>
      </c>
      <c r="I451" s="73"/>
      <c r="J451" s="73"/>
      <c r="K451" s="250"/>
      <c r="L451" s="58"/>
      <c r="M451" s="58">
        <v>0</v>
      </c>
      <c r="N451" s="58"/>
    </row>
    <row r="452" spans="1:14" ht="21.75" customHeight="1" x14ac:dyDescent="0.55000000000000004">
      <c r="A452" s="247"/>
      <c r="B452" s="329"/>
      <c r="C452" s="48"/>
      <c r="D452" s="249"/>
      <c r="E452" s="50"/>
      <c r="F452" s="50"/>
      <c r="G452" s="51" t="s">
        <v>115</v>
      </c>
      <c r="H452" s="52" t="s">
        <v>20</v>
      </c>
      <c r="I452" s="73"/>
      <c r="J452" s="73"/>
      <c r="K452" s="250"/>
      <c r="L452" s="58"/>
      <c r="M452" s="58">
        <v>0</v>
      </c>
      <c r="N452" s="58"/>
    </row>
    <row r="453" spans="1:14" ht="21.75" customHeight="1" x14ac:dyDescent="0.55000000000000004">
      <c r="A453" s="60"/>
      <c r="B453" s="67"/>
      <c r="C453" s="67"/>
      <c r="D453" s="61"/>
      <c r="E453" s="80"/>
      <c r="F453" s="80" t="s">
        <v>186</v>
      </c>
      <c r="G453" s="81"/>
      <c r="H453" s="334" t="s">
        <v>103</v>
      </c>
      <c r="I453" s="73">
        <f ca="1">IFERROR(__xludf.DUMMYFUNCTION("IMPORTRANGE(""https://docs.google.com/spreadsheets/d/1C3CXT74ZlgGe6_JY_1olB1XN4rF0dxEuIIF-xsYjHgg/edit?usp=sharing"",""งบกองทุน!dw86"")"),0)</f>
        <v>0</v>
      </c>
      <c r="J453" s="73">
        <v>0</v>
      </c>
      <c r="K453" s="250">
        <f t="shared" ref="K453:K457" ca="1" si="104">IF(I453&gt;0,J453*100/I453,0)</f>
        <v>0</v>
      </c>
      <c r="L453" s="58"/>
      <c r="M453" s="58"/>
      <c r="N453" s="58"/>
    </row>
    <row r="454" spans="1:14" ht="21.75" customHeight="1" x14ac:dyDescent="0.55000000000000004">
      <c r="A454" s="60"/>
      <c r="B454" s="67"/>
      <c r="C454" s="67"/>
      <c r="D454" s="61"/>
      <c r="E454" s="80"/>
      <c r="F454" s="80"/>
      <c r="G454" s="81"/>
      <c r="H454" s="334" t="s">
        <v>15</v>
      </c>
      <c r="I454" s="73">
        <f ca="1">IFERROR(__xludf.DUMMYFUNCTION("IMPORTRANGE(""https://docs.google.com/spreadsheets/d/1C3CXT74ZlgGe6_JY_1olB1XN4rF0dxEuIIF-xsYjHgg/edit?usp=sharing"",""งบกองทุน!dx86"")"),0)</f>
        <v>0</v>
      </c>
      <c r="J454" s="73">
        <v>0</v>
      </c>
      <c r="K454" s="250">
        <f t="shared" ca="1" si="104"/>
        <v>0</v>
      </c>
      <c r="L454" s="58"/>
      <c r="M454" s="58"/>
      <c r="N454" s="58"/>
    </row>
    <row r="455" spans="1:14" ht="21.75" customHeight="1" x14ac:dyDescent="0.55000000000000004">
      <c r="A455" s="60"/>
      <c r="B455" s="67"/>
      <c r="C455" s="67"/>
      <c r="D455" s="61"/>
      <c r="E455" s="80"/>
      <c r="F455" s="80" t="s">
        <v>187</v>
      </c>
      <c r="G455" s="81"/>
      <c r="H455" s="334" t="s">
        <v>103</v>
      </c>
      <c r="I455" s="73">
        <f ca="1">IFERROR(__xludf.DUMMYFUNCTION("IMPORTRANGE(""https://docs.google.com/spreadsheets/d/1C3CXT74ZlgGe6_JY_1olB1XN4rF0dxEuIIF-xsYjHgg/edit?usp=sharing"",""งบกองทุน!dy86"")"),0)</f>
        <v>0</v>
      </c>
      <c r="J455" s="73">
        <v>0</v>
      </c>
      <c r="K455" s="250">
        <f t="shared" ca="1" si="104"/>
        <v>0</v>
      </c>
      <c r="L455" s="58"/>
      <c r="M455" s="58"/>
      <c r="N455" s="58"/>
    </row>
    <row r="456" spans="1:14" ht="21.75" customHeight="1" x14ac:dyDescent="0.55000000000000004">
      <c r="A456" s="60"/>
      <c r="B456" s="67"/>
      <c r="C456" s="67"/>
      <c r="D456" s="61"/>
      <c r="E456" s="80"/>
      <c r="F456" s="80"/>
      <c r="G456" s="81"/>
      <c r="H456" s="334" t="s">
        <v>15</v>
      </c>
      <c r="I456" s="73">
        <f ca="1">IFERROR(__xludf.DUMMYFUNCTION("IMPORTRANGE(""https://docs.google.com/spreadsheets/d/1C3CXT74ZlgGe6_JY_1olB1XN4rF0dxEuIIF-xsYjHgg/edit?usp=sharing"",""งบกองทุน!dz86"")"),0)</f>
        <v>0</v>
      </c>
      <c r="J456" s="73">
        <v>0</v>
      </c>
      <c r="K456" s="250">
        <f t="shared" ca="1" si="104"/>
        <v>0</v>
      </c>
      <c r="L456" s="58"/>
      <c r="M456" s="58"/>
      <c r="N456" s="58"/>
    </row>
    <row r="457" spans="1:14" ht="21.75" customHeight="1" x14ac:dyDescent="0.55000000000000004">
      <c r="A457" s="239"/>
      <c r="B457" s="256">
        <v>8</v>
      </c>
      <c r="C457" s="241" t="s">
        <v>188</v>
      </c>
      <c r="D457" s="241"/>
      <c r="E457" s="241"/>
      <c r="F457" s="241"/>
      <c r="G457" s="242"/>
      <c r="H457" s="243" t="s">
        <v>16</v>
      </c>
      <c r="I457" s="244">
        <f ca="1">I466</f>
        <v>200</v>
      </c>
      <c r="J457" s="244">
        <f>+J466</f>
        <v>200</v>
      </c>
      <c r="K457" s="245">
        <f t="shared" ca="1" si="104"/>
        <v>100</v>
      </c>
      <c r="L457" s="246">
        <f t="shared" ref="L457:M457" ca="1" si="105">SUM(L458:L459)</f>
        <v>119520</v>
      </c>
      <c r="M457" s="246">
        <f t="shared" si="105"/>
        <v>1800</v>
      </c>
      <c r="N457" s="246">
        <f t="shared" ref="N457:N461" ca="1" si="106">+IF(L457&gt;0,M457*100/L457,0)</f>
        <v>1.5060240963855422</v>
      </c>
    </row>
    <row r="458" spans="1:14" ht="21.75" customHeight="1" x14ac:dyDescent="0.55000000000000004">
      <c r="A458" s="46"/>
      <c r="B458" s="48"/>
      <c r="C458" s="48" t="s">
        <v>17</v>
      </c>
      <c r="D458" s="49" t="s">
        <v>18</v>
      </c>
      <c r="E458" s="50"/>
      <c r="F458" s="50"/>
      <c r="G458" s="51" t="s">
        <v>19</v>
      </c>
      <c r="H458" s="52" t="s">
        <v>20</v>
      </c>
      <c r="I458" s="53" t="s">
        <v>21</v>
      </c>
      <c r="J458" s="53"/>
      <c r="K458" s="54"/>
      <c r="L458" s="55">
        <v>0</v>
      </c>
      <c r="M458" s="58">
        <v>0</v>
      </c>
      <c r="N458" s="58">
        <f t="shared" si="106"/>
        <v>0</v>
      </c>
    </row>
    <row r="459" spans="1:14" ht="21.75" customHeight="1" x14ac:dyDescent="0.55000000000000004">
      <c r="A459" s="46"/>
      <c r="B459" s="48"/>
      <c r="C459" s="48"/>
      <c r="D459" s="56"/>
      <c r="E459" s="50"/>
      <c r="F459" s="50" t="s">
        <v>21</v>
      </c>
      <c r="G459" s="51" t="s">
        <v>22</v>
      </c>
      <c r="H459" s="52" t="s">
        <v>20</v>
      </c>
      <c r="I459" s="53"/>
      <c r="J459" s="53"/>
      <c r="K459" s="54"/>
      <c r="L459" s="55">
        <f t="shared" ref="L459:M459" ca="1" si="107">SUM(L460:L461)</f>
        <v>119520</v>
      </c>
      <c r="M459" s="58">
        <f t="shared" si="107"/>
        <v>1800</v>
      </c>
      <c r="N459" s="58">
        <f t="shared" ca="1" si="106"/>
        <v>1.5060240963855422</v>
      </c>
    </row>
    <row r="460" spans="1:14" ht="21.75" customHeight="1" x14ac:dyDescent="0.55000000000000004">
      <c r="A460" s="46"/>
      <c r="B460" s="48"/>
      <c r="C460" s="48"/>
      <c r="D460" s="56"/>
      <c r="E460" s="50"/>
      <c r="F460" s="50"/>
      <c r="G460" s="57" t="s">
        <v>110</v>
      </c>
      <c r="H460" s="52" t="s">
        <v>20</v>
      </c>
      <c r="I460" s="53"/>
      <c r="J460" s="53"/>
      <c r="K460" s="54"/>
      <c r="L460" s="58">
        <f ca="1">IFERROR(__xludf.DUMMYFUNCTION("IMPORTRANGE(""https://docs.google.com/spreadsheets/d/1C3CXT74ZlgGe6_JY_1olB1XN4rF0dxEuIIF-xsYjHgg/edit?usp=sharing"",""งบกองทุน!Eb86"")"),0)</f>
        <v>0</v>
      </c>
      <c r="M460" s="58">
        <v>0</v>
      </c>
      <c r="N460" s="58">
        <f t="shared" ca="1" si="106"/>
        <v>0</v>
      </c>
    </row>
    <row r="461" spans="1:14" ht="21.75" customHeight="1" x14ac:dyDescent="0.55000000000000004">
      <c r="A461" s="46"/>
      <c r="B461" s="48"/>
      <c r="C461" s="48"/>
      <c r="D461" s="56"/>
      <c r="E461" s="50"/>
      <c r="F461" s="50"/>
      <c r="G461" s="57" t="s">
        <v>111</v>
      </c>
      <c r="H461" s="52" t="s">
        <v>20</v>
      </c>
      <c r="I461" s="53"/>
      <c r="J461" s="53"/>
      <c r="K461" s="54"/>
      <c r="L461" s="58">
        <f ca="1">IFERROR(__xludf.DUMMYFUNCTION("IMPORTRANGE(""https://docs.google.com/spreadsheets/d/1C3CXT74ZlgGe6_JY_1olB1XN4rF0dxEuIIF-xsYjHgg/edit?usp=sharing"",""งบกองทุน!Ec86"")"),119520)</f>
        <v>119520</v>
      </c>
      <c r="M461" s="58">
        <f>SUM(M462:M465)</f>
        <v>1800</v>
      </c>
      <c r="N461" s="58">
        <f t="shared" ca="1" si="106"/>
        <v>1.5060240963855422</v>
      </c>
    </row>
    <row r="462" spans="1:14" ht="21.75" customHeight="1" x14ac:dyDescent="0.55000000000000004">
      <c r="A462" s="247"/>
      <c r="B462" s="329"/>
      <c r="C462" s="48"/>
      <c r="D462" s="249"/>
      <c r="E462" s="50"/>
      <c r="F462" s="50"/>
      <c r="G462" s="51" t="s">
        <v>112</v>
      </c>
      <c r="H462" s="52" t="s">
        <v>20</v>
      </c>
      <c r="I462" s="73"/>
      <c r="J462" s="73"/>
      <c r="K462" s="250"/>
      <c r="L462" s="58"/>
      <c r="M462" s="58">
        <v>0</v>
      </c>
      <c r="N462" s="58"/>
    </row>
    <row r="463" spans="1:14" ht="21.75" customHeight="1" x14ac:dyDescent="0.55000000000000004">
      <c r="A463" s="247"/>
      <c r="B463" s="329"/>
      <c r="C463" s="48"/>
      <c r="D463" s="249"/>
      <c r="E463" s="50"/>
      <c r="F463" s="50"/>
      <c r="G463" s="51" t="s">
        <v>113</v>
      </c>
      <c r="H463" s="52" t="s">
        <v>20</v>
      </c>
      <c r="I463" s="73"/>
      <c r="J463" s="73"/>
      <c r="K463" s="250"/>
      <c r="L463" s="58"/>
      <c r="M463" s="58">
        <v>0</v>
      </c>
      <c r="N463" s="58"/>
    </row>
    <row r="464" spans="1:14" ht="21.75" customHeight="1" x14ac:dyDescent="0.55000000000000004">
      <c r="A464" s="247"/>
      <c r="B464" s="329"/>
      <c r="C464" s="48"/>
      <c r="D464" s="249"/>
      <c r="E464" s="50"/>
      <c r="F464" s="50"/>
      <c r="G464" s="51" t="s">
        <v>114</v>
      </c>
      <c r="H464" s="52" t="s">
        <v>20</v>
      </c>
      <c r="I464" s="73"/>
      <c r="J464" s="73"/>
      <c r="K464" s="250"/>
      <c r="L464" s="58"/>
      <c r="M464" s="59">
        <v>0</v>
      </c>
      <c r="N464" s="58"/>
    </row>
    <row r="465" spans="1:14" ht="21.75" customHeight="1" x14ac:dyDescent="0.55000000000000004">
      <c r="A465" s="247"/>
      <c r="B465" s="329"/>
      <c r="C465" s="48"/>
      <c r="D465" s="249"/>
      <c r="E465" s="50"/>
      <c r="F465" s="50"/>
      <c r="G465" s="51" t="s">
        <v>115</v>
      </c>
      <c r="H465" s="52" t="s">
        <v>20</v>
      </c>
      <c r="I465" s="73"/>
      <c r="J465" s="73"/>
      <c r="K465" s="250"/>
      <c r="L465" s="58"/>
      <c r="M465" s="59">
        <v>1800</v>
      </c>
      <c r="N465" s="58"/>
    </row>
    <row r="466" spans="1:14" ht="21.75" customHeight="1" x14ac:dyDescent="0.55000000000000004">
      <c r="A466" s="60"/>
      <c r="B466" s="67"/>
      <c r="C466" s="67"/>
      <c r="D466" s="80"/>
      <c r="E466" s="79" t="s">
        <v>21</v>
      </c>
      <c r="F466" s="278" t="s">
        <v>189</v>
      </c>
      <c r="G466" s="258"/>
      <c r="H466" s="333" t="s">
        <v>16</v>
      </c>
      <c r="I466" s="283">
        <f ca="1">IFERROR(__xludf.DUMMYFUNCTION("IMPORTRANGE(""https://docs.google.com/spreadsheets/d/1C3CXT74ZlgGe6_JY_1olB1XN4rF0dxEuIIF-xsYjHgg/edit?usp=sharing"",""งบกองทุน!Ed86"")"),200)</f>
        <v>200</v>
      </c>
      <c r="J466" s="283">
        <f>+J469+J470+J471+J472</f>
        <v>200</v>
      </c>
      <c r="K466" s="85">
        <f ca="1">IF(I466&gt;0,J466*100/I466,0)</f>
        <v>100</v>
      </c>
      <c r="L466" s="66"/>
      <c r="M466" s="66"/>
      <c r="N466" s="66"/>
    </row>
    <row r="467" spans="1:14" ht="21.75" customHeight="1" x14ac:dyDescent="0.55000000000000004">
      <c r="A467" s="60"/>
      <c r="B467" s="67"/>
      <c r="C467" s="67"/>
      <c r="D467" s="80"/>
      <c r="E467" s="80"/>
      <c r="F467" s="79" t="s">
        <v>190</v>
      </c>
      <c r="G467" s="81"/>
      <c r="H467" s="334"/>
      <c r="I467" s="53"/>
      <c r="J467" s="53"/>
      <c r="K467" s="54"/>
      <c r="L467" s="66"/>
      <c r="M467" s="66"/>
      <c r="N467" s="66"/>
    </row>
    <row r="468" spans="1:14" ht="21.75" customHeight="1" x14ac:dyDescent="0.55000000000000004">
      <c r="A468" s="60"/>
      <c r="B468" s="67"/>
      <c r="C468" s="67"/>
      <c r="D468" s="80"/>
      <c r="E468" s="79" t="s">
        <v>21</v>
      </c>
      <c r="F468" s="79" t="s">
        <v>191</v>
      </c>
      <c r="G468" s="81"/>
      <c r="H468" s="334" t="s">
        <v>57</v>
      </c>
      <c r="I468" s="53">
        <v>0</v>
      </c>
      <c r="J468" s="74">
        <v>11</v>
      </c>
      <c r="K468" s="54">
        <f t="shared" ref="K468:K472" si="108">IF(I468&gt;0,J468*100/I468,0)</f>
        <v>0</v>
      </c>
      <c r="L468" s="66"/>
      <c r="M468" s="66"/>
      <c r="N468" s="66"/>
    </row>
    <row r="469" spans="1:14" ht="21.75" customHeight="1" x14ac:dyDescent="0.55000000000000004">
      <c r="A469" s="60"/>
      <c r="B469" s="67"/>
      <c r="C469" s="67"/>
      <c r="D469" s="80"/>
      <c r="E469" s="80"/>
      <c r="F469" s="79" t="s">
        <v>192</v>
      </c>
      <c r="G469" s="81"/>
      <c r="H469" s="334" t="s">
        <v>16</v>
      </c>
      <c r="I469" s="53">
        <v>0</v>
      </c>
      <c r="J469" s="74">
        <v>180</v>
      </c>
      <c r="K469" s="54">
        <f t="shared" si="108"/>
        <v>0</v>
      </c>
      <c r="L469" s="66"/>
      <c r="M469" s="66"/>
      <c r="N469" s="66"/>
    </row>
    <row r="470" spans="1:14" ht="21.75" customHeight="1" x14ac:dyDescent="0.55000000000000004">
      <c r="A470" s="60"/>
      <c r="B470" s="67"/>
      <c r="C470" s="67"/>
      <c r="D470" s="80"/>
      <c r="E470" s="80"/>
      <c r="F470" s="79" t="s">
        <v>193</v>
      </c>
      <c r="G470" s="81"/>
      <c r="H470" s="334" t="s">
        <v>16</v>
      </c>
      <c r="I470" s="53">
        <v>0</v>
      </c>
      <c r="J470" s="74">
        <v>20</v>
      </c>
      <c r="K470" s="54">
        <f t="shared" si="108"/>
        <v>0</v>
      </c>
      <c r="L470" s="66"/>
      <c r="M470" s="66"/>
      <c r="N470" s="66"/>
    </row>
    <row r="471" spans="1:14" ht="21.75" customHeight="1" x14ac:dyDescent="0.55000000000000004">
      <c r="A471" s="60"/>
      <c r="B471" s="67"/>
      <c r="C471" s="67"/>
      <c r="D471" s="80"/>
      <c r="E471" s="80"/>
      <c r="F471" s="79" t="s">
        <v>194</v>
      </c>
      <c r="G471" s="284"/>
      <c r="H471" s="334" t="s">
        <v>16</v>
      </c>
      <c r="I471" s="53">
        <v>0</v>
      </c>
      <c r="J471" s="74">
        <v>0</v>
      </c>
      <c r="K471" s="54">
        <f t="shared" si="108"/>
        <v>0</v>
      </c>
      <c r="L471" s="66"/>
      <c r="M471" s="66"/>
      <c r="N471" s="66"/>
    </row>
    <row r="472" spans="1:14" ht="21.75" customHeight="1" x14ac:dyDescent="0.55000000000000004">
      <c r="A472" s="60"/>
      <c r="B472" s="67"/>
      <c r="C472" s="67"/>
      <c r="D472" s="80"/>
      <c r="E472" s="80"/>
      <c r="F472" s="79" t="s">
        <v>195</v>
      </c>
      <c r="G472" s="284"/>
      <c r="H472" s="334" t="s">
        <v>16</v>
      </c>
      <c r="I472" s="53">
        <v>0</v>
      </c>
      <c r="J472" s="74">
        <v>0</v>
      </c>
      <c r="K472" s="54">
        <f t="shared" si="108"/>
        <v>0</v>
      </c>
      <c r="L472" s="66"/>
      <c r="M472" s="66"/>
      <c r="N472" s="66"/>
    </row>
    <row r="473" spans="1:14" ht="21.75" customHeight="1" x14ac:dyDescent="0.55000000000000004">
      <c r="A473" s="239"/>
      <c r="B473" s="256">
        <v>9</v>
      </c>
      <c r="C473" s="241" t="s">
        <v>196</v>
      </c>
      <c r="D473" s="241"/>
      <c r="E473" s="241"/>
      <c r="F473" s="241"/>
      <c r="G473" s="242"/>
      <c r="H473" s="243" t="s">
        <v>16</v>
      </c>
      <c r="I473" s="244">
        <f ca="1">I484</f>
        <v>0</v>
      </c>
      <c r="J473" s="244">
        <f ca="1">J488</f>
        <v>0</v>
      </c>
      <c r="K473" s="245">
        <f ca="1">IF(I473&gt;0,J473*100/I473,0)</f>
        <v>0</v>
      </c>
      <c r="L473" s="246">
        <f ca="1">SUM(L474,L475)</f>
        <v>0</v>
      </c>
      <c r="M473" s="246">
        <f>SUM(M474:M475)</f>
        <v>0</v>
      </c>
      <c r="N473" s="246">
        <f t="shared" ref="N473:N477" ca="1" si="109">+IF(L473&gt;0,M473*100/L473,0)</f>
        <v>0</v>
      </c>
    </row>
    <row r="474" spans="1:14" ht="21.75" customHeight="1" x14ac:dyDescent="0.55000000000000004">
      <c r="A474" s="46"/>
      <c r="B474" s="48"/>
      <c r="C474" s="48" t="s">
        <v>17</v>
      </c>
      <c r="D474" s="49" t="s">
        <v>18</v>
      </c>
      <c r="E474" s="50"/>
      <c r="F474" s="50"/>
      <c r="G474" s="51" t="s">
        <v>19</v>
      </c>
      <c r="H474" s="52" t="s">
        <v>20</v>
      </c>
      <c r="I474" s="73" t="s">
        <v>21</v>
      </c>
      <c r="J474" s="73"/>
      <c r="K474" s="250"/>
      <c r="L474" s="55">
        <v>0</v>
      </c>
      <c r="M474" s="58">
        <v>0</v>
      </c>
      <c r="N474" s="58">
        <f t="shared" si="109"/>
        <v>0</v>
      </c>
    </row>
    <row r="475" spans="1:14" ht="21.75" customHeight="1" x14ac:dyDescent="0.55000000000000004">
      <c r="A475" s="46"/>
      <c r="B475" s="48"/>
      <c r="C475" s="48"/>
      <c r="D475" s="56"/>
      <c r="E475" s="50"/>
      <c r="F475" s="50" t="s">
        <v>21</v>
      </c>
      <c r="G475" s="51" t="s">
        <v>22</v>
      </c>
      <c r="H475" s="52" t="s">
        <v>20</v>
      </c>
      <c r="I475" s="73"/>
      <c r="J475" s="73"/>
      <c r="K475" s="250"/>
      <c r="L475" s="55">
        <f t="shared" ref="L475:M475" ca="1" si="110">SUM(L476:L477)</f>
        <v>0</v>
      </c>
      <c r="M475" s="58">
        <f t="shared" si="110"/>
        <v>0</v>
      </c>
      <c r="N475" s="58">
        <f t="shared" ca="1" si="109"/>
        <v>0</v>
      </c>
    </row>
    <row r="476" spans="1:14" ht="21.75" customHeight="1" x14ac:dyDescent="0.55000000000000004">
      <c r="A476" s="46"/>
      <c r="B476" s="48"/>
      <c r="C476" s="48"/>
      <c r="D476" s="56"/>
      <c r="E476" s="50"/>
      <c r="F476" s="50"/>
      <c r="G476" s="57" t="s">
        <v>110</v>
      </c>
      <c r="H476" s="52" t="s">
        <v>20</v>
      </c>
      <c r="I476" s="73"/>
      <c r="J476" s="73"/>
      <c r="K476" s="250"/>
      <c r="L476" s="58">
        <f ca="1">IFERROR(__xludf.DUMMYFUNCTION("IMPORTRANGE(""https://docs.google.com/spreadsheets/d/1C3CXT74ZlgGe6_JY_1olB1XN4rF0dxEuIIF-xsYjHgg/edit?usp=sharing"",""งบกองทุน!Ek86"")"),0)</f>
        <v>0</v>
      </c>
      <c r="M476" s="58">
        <v>0</v>
      </c>
      <c r="N476" s="58">
        <f t="shared" ca="1" si="109"/>
        <v>0</v>
      </c>
    </row>
    <row r="477" spans="1:14" ht="21.75" customHeight="1" x14ac:dyDescent="0.55000000000000004">
      <c r="A477" s="46"/>
      <c r="B477" s="48"/>
      <c r="C477" s="48"/>
      <c r="D477" s="56"/>
      <c r="E477" s="50"/>
      <c r="F477" s="50"/>
      <c r="G477" s="57" t="s">
        <v>111</v>
      </c>
      <c r="H477" s="52" t="s">
        <v>20</v>
      </c>
      <c r="I477" s="73"/>
      <c r="J477" s="73"/>
      <c r="K477" s="250"/>
      <c r="L477" s="58">
        <f ca="1">IFERROR(__xludf.DUMMYFUNCTION("IMPORTRANGE(""https://docs.google.com/spreadsheets/d/1C3CXT74ZlgGe6_JY_1olB1XN4rF0dxEuIIF-xsYjHgg/edit?usp=sharing"",""งบกองทุน!El86"")"),0)</f>
        <v>0</v>
      </c>
      <c r="M477" s="58">
        <f>SUM(M478:M481)</f>
        <v>0</v>
      </c>
      <c r="N477" s="58">
        <f t="shared" ca="1" si="109"/>
        <v>0</v>
      </c>
    </row>
    <row r="478" spans="1:14" ht="21.75" customHeight="1" x14ac:dyDescent="0.55000000000000004">
      <c r="A478" s="247"/>
      <c r="B478" s="329"/>
      <c r="C478" s="48"/>
      <c r="D478" s="249"/>
      <c r="E478" s="50"/>
      <c r="F478" s="50"/>
      <c r="G478" s="51" t="s">
        <v>112</v>
      </c>
      <c r="H478" s="52" t="s">
        <v>20</v>
      </c>
      <c r="I478" s="73"/>
      <c r="J478" s="73"/>
      <c r="K478" s="250"/>
      <c r="L478" s="58"/>
      <c r="M478" s="58">
        <v>0</v>
      </c>
      <c r="N478" s="58"/>
    </row>
    <row r="479" spans="1:14" ht="21.75" customHeight="1" x14ac:dyDescent="0.55000000000000004">
      <c r="A479" s="247"/>
      <c r="B479" s="329"/>
      <c r="C479" s="48"/>
      <c r="D479" s="249"/>
      <c r="E479" s="50"/>
      <c r="F479" s="50"/>
      <c r="G479" s="51" t="s">
        <v>113</v>
      </c>
      <c r="H479" s="52" t="s">
        <v>20</v>
      </c>
      <c r="I479" s="73"/>
      <c r="J479" s="73"/>
      <c r="K479" s="250"/>
      <c r="L479" s="58"/>
      <c r="M479" s="58">
        <v>0</v>
      </c>
      <c r="N479" s="58"/>
    </row>
    <row r="480" spans="1:14" ht="21.75" customHeight="1" x14ac:dyDescent="0.55000000000000004">
      <c r="A480" s="247"/>
      <c r="B480" s="329"/>
      <c r="C480" s="48"/>
      <c r="D480" s="249"/>
      <c r="E480" s="50"/>
      <c r="F480" s="50"/>
      <c r="G480" s="51" t="s">
        <v>114</v>
      </c>
      <c r="H480" s="52" t="s">
        <v>20</v>
      </c>
      <c r="I480" s="73"/>
      <c r="J480" s="73"/>
      <c r="K480" s="250"/>
      <c r="L480" s="58"/>
      <c r="M480" s="58">
        <v>0</v>
      </c>
      <c r="N480" s="58"/>
    </row>
    <row r="481" spans="1:14" ht="21.75" customHeight="1" x14ac:dyDescent="0.55000000000000004">
      <c r="A481" s="247"/>
      <c r="B481" s="329"/>
      <c r="C481" s="48"/>
      <c r="D481" s="249"/>
      <c r="E481" s="50"/>
      <c r="F481" s="50"/>
      <c r="G481" s="51" t="s">
        <v>115</v>
      </c>
      <c r="H481" s="52" t="s">
        <v>20</v>
      </c>
      <c r="I481" s="73"/>
      <c r="J481" s="73"/>
      <c r="K481" s="250"/>
      <c r="L481" s="58"/>
      <c r="M481" s="58">
        <v>0</v>
      </c>
      <c r="N481" s="58"/>
    </row>
    <row r="482" spans="1:14" ht="21.75" customHeight="1" x14ac:dyDescent="0.55000000000000004">
      <c r="A482" s="335"/>
      <c r="B482" s="56"/>
      <c r="C482" s="48"/>
      <c r="D482" s="286"/>
      <c r="E482" s="79" t="s">
        <v>197</v>
      </c>
      <c r="F482" s="80"/>
      <c r="G482" s="81"/>
      <c r="H482" s="65" t="s">
        <v>15</v>
      </c>
      <c r="I482" s="214">
        <f ca="1">IFERROR(__xludf.DUMMYFUNCTION("IMPORTRANGE(""https://docs.google.com/spreadsheets/d/1C3CXT74ZlgGe6_JY_1olB1XN4rF0dxEuIIF-xsYjHgg/edit?usp=sharing"",""งบกองทุน!Em86"")"),0)</f>
        <v>0</v>
      </c>
      <c r="J482" s="73">
        <f ca="1">IFERROR(__xludf.DUMMYFUNCTION("IMPORTRANGE(""https://docs.google.com/spreadsheets/d/1AGHcLOeeYFL3K4b9R1dSzyJy00PE_ra89DNTVfnxSWM/edit?usp=sharing"",""รวมที่ชุมชน!G75"")"),0)</f>
        <v>0</v>
      </c>
      <c r="K482" s="250">
        <f t="shared" ref="K482:K489" ca="1" si="111">IF(I482&gt;0,J482*100/I482,0)</f>
        <v>0</v>
      </c>
      <c r="L482" s="58"/>
      <c r="M482" s="58"/>
      <c r="N482" s="58"/>
    </row>
    <row r="483" spans="1:14" ht="21.75" customHeight="1" x14ac:dyDescent="0.55000000000000004">
      <c r="A483" s="335"/>
      <c r="B483" s="56"/>
      <c r="C483" s="48"/>
      <c r="D483" s="286"/>
      <c r="E483" s="80"/>
      <c r="F483" s="80"/>
      <c r="G483" s="81"/>
      <c r="H483" s="65" t="s">
        <v>103</v>
      </c>
      <c r="I483" s="214">
        <v>0</v>
      </c>
      <c r="J483" s="73">
        <f ca="1">IFERROR(__xludf.DUMMYFUNCTION("IMPORTRANGE(""https://docs.google.com/spreadsheets/d/1AGHcLOeeYFL3K4b9R1dSzyJy00PE_ra89DNTVfnxSWM/edit?usp=sharing"",""รวมที่ชุมชน!H75"")"),0)</f>
        <v>0</v>
      </c>
      <c r="K483" s="250">
        <f t="shared" si="111"/>
        <v>0</v>
      </c>
      <c r="L483" s="58"/>
      <c r="M483" s="58"/>
      <c r="N483" s="58"/>
    </row>
    <row r="484" spans="1:14" ht="21.75" customHeight="1" x14ac:dyDescent="0.55000000000000004">
      <c r="A484" s="335"/>
      <c r="B484" s="56"/>
      <c r="C484" s="48"/>
      <c r="D484" s="286"/>
      <c r="E484" s="79" t="s">
        <v>104</v>
      </c>
      <c r="F484" s="80"/>
      <c r="G484" s="81"/>
      <c r="H484" s="65" t="s">
        <v>16</v>
      </c>
      <c r="I484" s="214">
        <f ca="1">IFERROR(__xludf.DUMMYFUNCTION("IMPORTRANGE(""https://docs.google.com/spreadsheets/d/1C3CXT74ZlgGe6_JY_1olB1XN4rF0dxEuIIF-xsYjHgg/edit?usp=sharing"",""งบกองทุน!Eo86"")"),0)</f>
        <v>0</v>
      </c>
      <c r="J484" s="73">
        <f ca="1">IFERROR(__xludf.DUMMYFUNCTION("IMPORTRANGE(""https://docs.google.com/spreadsheets/d/1AGHcLOeeYFL3K4b9R1dSzyJy00PE_ra89DNTVfnxSWM/edit?usp=sharing"",""รวมที่ชุมชน!J75"")"),0)</f>
        <v>0</v>
      </c>
      <c r="K484" s="250">
        <f t="shared" ca="1" si="111"/>
        <v>0</v>
      </c>
      <c r="L484" s="58"/>
      <c r="M484" s="58"/>
      <c r="N484" s="58"/>
    </row>
    <row r="485" spans="1:14" ht="21.75" customHeight="1" x14ac:dyDescent="0.55000000000000004">
      <c r="A485" s="335"/>
      <c r="B485" s="56"/>
      <c r="C485" s="48"/>
      <c r="D485" s="286"/>
      <c r="E485" s="80"/>
      <c r="F485" s="80"/>
      <c r="G485" s="81"/>
      <c r="H485" s="65" t="s">
        <v>103</v>
      </c>
      <c r="I485" s="214">
        <v>0</v>
      </c>
      <c r="J485" s="73">
        <f ca="1">IFERROR(__xludf.DUMMYFUNCTION("IMPORTRANGE(""https://docs.google.com/spreadsheets/d/1AGHcLOeeYFL3K4b9R1dSzyJy00PE_ra89DNTVfnxSWM/edit?usp=sharing"",""รวมที่ชุมชน!L75"")"),0)</f>
        <v>0</v>
      </c>
      <c r="K485" s="250">
        <f t="shared" si="111"/>
        <v>0</v>
      </c>
      <c r="L485" s="58"/>
      <c r="M485" s="58"/>
      <c r="N485" s="58"/>
    </row>
    <row r="486" spans="1:14" ht="21.75" customHeight="1" x14ac:dyDescent="0.55000000000000004">
      <c r="A486" s="335"/>
      <c r="B486" s="56"/>
      <c r="C486" s="48"/>
      <c r="D486" s="286"/>
      <c r="E486" s="79" t="s">
        <v>105</v>
      </c>
      <c r="F486" s="80"/>
      <c r="G486" s="81"/>
      <c r="H486" s="65" t="s">
        <v>16</v>
      </c>
      <c r="I486" s="214">
        <f ca="1">IFERROR(__xludf.DUMMYFUNCTION("IMPORTRANGE(""https://docs.google.com/spreadsheets/d/1C3CXT74ZlgGe6_JY_1olB1XN4rF0dxEuIIF-xsYjHgg/edit?usp=sharing"",""งบกองทุน!Eq86"")"),0)</f>
        <v>0</v>
      </c>
      <c r="J486" s="73">
        <f ca="1">IFERROR(__xludf.DUMMYFUNCTION("IMPORTRANGE(""https://docs.google.com/spreadsheets/d/1AGHcLOeeYFL3K4b9R1dSzyJy00PE_ra89DNTVfnxSWM/edit?usp=sharing"",""รวมที่ชุมชน!S75"")"),0)</f>
        <v>0</v>
      </c>
      <c r="K486" s="250">
        <f t="shared" ca="1" si="111"/>
        <v>0</v>
      </c>
      <c r="L486" s="58"/>
      <c r="M486" s="58"/>
      <c r="N486" s="58"/>
    </row>
    <row r="487" spans="1:14" ht="21.75" customHeight="1" x14ac:dyDescent="0.55000000000000004">
      <c r="A487" s="335"/>
      <c r="B487" s="56"/>
      <c r="C487" s="48"/>
      <c r="D487" s="286"/>
      <c r="E487" s="80"/>
      <c r="F487" s="80"/>
      <c r="G487" s="81"/>
      <c r="H487" s="65" t="s">
        <v>103</v>
      </c>
      <c r="I487" s="214">
        <v>0</v>
      </c>
      <c r="J487" s="73">
        <f ca="1">IFERROR(__xludf.DUMMYFUNCTION("IMPORTRANGE(""https://docs.google.com/spreadsheets/d/1AGHcLOeeYFL3K4b9R1dSzyJy00PE_ra89DNTVfnxSWM/edit?usp=sharing"",""รวมที่ชุมชน!U75"")"),0)</f>
        <v>0</v>
      </c>
      <c r="K487" s="250">
        <f t="shared" si="111"/>
        <v>0</v>
      </c>
      <c r="L487" s="58"/>
      <c r="M487" s="58"/>
      <c r="N487" s="58"/>
    </row>
    <row r="488" spans="1:14" ht="21.75" customHeight="1" x14ac:dyDescent="0.55000000000000004">
      <c r="A488" s="335"/>
      <c r="B488" s="56"/>
      <c r="C488" s="48"/>
      <c r="D488" s="286"/>
      <c r="E488" s="79" t="s">
        <v>106</v>
      </c>
      <c r="F488" s="80"/>
      <c r="G488" s="81"/>
      <c r="H488" s="65" t="s">
        <v>16</v>
      </c>
      <c r="I488" s="214">
        <f ca="1">IFERROR(__xludf.DUMMYFUNCTION("IMPORTRANGE(""https://docs.google.com/spreadsheets/d/1C3CXT74ZlgGe6_JY_1olB1XN4rF0dxEuIIF-xsYjHgg/edit?usp=sharing"",""งบกองทุน!Es86"")"),0)</f>
        <v>0</v>
      </c>
      <c r="J488" s="73">
        <f ca="1">IFERROR(__xludf.DUMMYFUNCTION("IMPORTRANGE(""https://docs.google.com/spreadsheets/d/1AGHcLOeeYFL3K4b9R1dSzyJy00PE_ra89DNTVfnxSWM/edit?usp=sharing"",""รวมที่ชุมชน!V75"")"),0)</f>
        <v>0</v>
      </c>
      <c r="K488" s="250">
        <f t="shared" ca="1" si="111"/>
        <v>0</v>
      </c>
      <c r="L488" s="58"/>
      <c r="M488" s="58"/>
      <c r="N488" s="58"/>
    </row>
    <row r="489" spans="1:14" ht="21.75" customHeight="1" x14ac:dyDescent="0.55000000000000004">
      <c r="A489" s="337"/>
      <c r="B489" s="366"/>
      <c r="C489" s="339"/>
      <c r="D489" s="340"/>
      <c r="E489" s="314"/>
      <c r="F489" s="314"/>
      <c r="G489" s="315"/>
      <c r="H489" s="341" t="s">
        <v>103</v>
      </c>
      <c r="I489" s="342">
        <v>0</v>
      </c>
      <c r="J489" s="120">
        <f ca="1">IFERROR(__xludf.DUMMYFUNCTION("IMPORTRANGE(""https://docs.google.com/spreadsheets/d/1AGHcLOeeYFL3K4b9R1dSzyJy00PE_ra89DNTVfnxSWM/edit?usp=sharing"",""รวมที่ชุมชน!X75"")"),0)</f>
        <v>0</v>
      </c>
      <c r="K489" s="385">
        <f t="shared" si="111"/>
        <v>0</v>
      </c>
      <c r="L489" s="371"/>
      <c r="M489" s="371"/>
      <c r="N489" s="371"/>
    </row>
    <row r="490" spans="1:14" ht="21.75" customHeight="1" x14ac:dyDescent="0.55000000000000004">
      <c r="A490" s="269"/>
      <c r="B490" s="271">
        <v>10</v>
      </c>
      <c r="C490" s="272" t="s">
        <v>198</v>
      </c>
      <c r="D490" s="272"/>
      <c r="E490" s="272"/>
      <c r="F490" s="272"/>
      <c r="G490" s="273"/>
      <c r="H490" s="274" t="s">
        <v>103</v>
      </c>
      <c r="I490" s="275">
        <f t="shared" ref="I490:J490" ca="1" si="112">I504</f>
        <v>100</v>
      </c>
      <c r="J490" s="321">
        <f t="shared" si="112"/>
        <v>0</v>
      </c>
      <c r="K490" s="343">
        <f ca="1">IF(I490&gt;0,J490*100/I490,0)</f>
        <v>0</v>
      </c>
      <c r="L490" s="277">
        <f ca="1">SUM(L491,L492)</f>
        <v>7300</v>
      </c>
      <c r="M490" s="277">
        <f>SUM(M491:M492)</f>
        <v>0</v>
      </c>
      <c r="N490" s="277">
        <f t="shared" ref="N490:N494" ca="1" si="113">+IF(L490&gt;0,M490*100/L490,0)</f>
        <v>0</v>
      </c>
    </row>
    <row r="491" spans="1:14" ht="21.75" customHeight="1" x14ac:dyDescent="0.55000000000000004">
      <c r="A491" s="46"/>
      <c r="B491" s="48"/>
      <c r="C491" s="48" t="s">
        <v>17</v>
      </c>
      <c r="D491" s="49" t="s">
        <v>18</v>
      </c>
      <c r="E491" s="50"/>
      <c r="F491" s="50"/>
      <c r="G491" s="51" t="s">
        <v>19</v>
      </c>
      <c r="H491" s="52" t="s">
        <v>20</v>
      </c>
      <c r="I491" s="53" t="s">
        <v>21</v>
      </c>
      <c r="J491" s="53"/>
      <c r="K491" s="54"/>
      <c r="L491" s="55">
        <v>0</v>
      </c>
      <c r="M491" s="58">
        <v>0</v>
      </c>
      <c r="N491" s="58">
        <f t="shared" si="113"/>
        <v>0</v>
      </c>
    </row>
    <row r="492" spans="1:14" ht="21.75" customHeight="1" x14ac:dyDescent="0.55000000000000004">
      <c r="A492" s="46"/>
      <c r="B492" s="48"/>
      <c r="C492" s="48"/>
      <c r="D492" s="56"/>
      <c r="E492" s="50"/>
      <c r="F492" s="50" t="s">
        <v>21</v>
      </c>
      <c r="G492" s="51" t="s">
        <v>22</v>
      </c>
      <c r="H492" s="52" t="s">
        <v>20</v>
      </c>
      <c r="I492" s="53"/>
      <c r="J492" s="53"/>
      <c r="K492" s="54"/>
      <c r="L492" s="55">
        <f t="shared" ref="L492:M492" ca="1" si="114">SUM(L493:L494)</f>
        <v>7300</v>
      </c>
      <c r="M492" s="58">
        <f t="shared" si="114"/>
        <v>0</v>
      </c>
      <c r="N492" s="58">
        <f t="shared" ca="1" si="113"/>
        <v>0</v>
      </c>
    </row>
    <row r="493" spans="1:14" ht="21.75" customHeight="1" x14ac:dyDescent="0.55000000000000004">
      <c r="A493" s="46"/>
      <c r="B493" s="48"/>
      <c r="C493" s="48"/>
      <c r="D493" s="56"/>
      <c r="E493" s="50"/>
      <c r="F493" s="50"/>
      <c r="G493" s="57" t="s">
        <v>110</v>
      </c>
      <c r="H493" s="52" t="s">
        <v>20</v>
      </c>
      <c r="I493" s="53"/>
      <c r="J493" s="53"/>
      <c r="K493" s="54"/>
      <c r="L493" s="58">
        <f ca="1">IFERROR(__xludf.DUMMYFUNCTION("IMPORTRANGE(""https://docs.google.com/spreadsheets/d/1C3CXT74ZlgGe6_JY_1olB1XN4rF0dxEuIIF-xsYjHgg/edit?usp=sharing"",""งบกองทุน!Ev86"")"),0)</f>
        <v>0</v>
      </c>
      <c r="M493" s="58">
        <v>0</v>
      </c>
      <c r="N493" s="58">
        <f t="shared" ca="1" si="113"/>
        <v>0</v>
      </c>
    </row>
    <row r="494" spans="1:14" ht="21.75" customHeight="1" x14ac:dyDescent="0.55000000000000004">
      <c r="A494" s="46"/>
      <c r="B494" s="48"/>
      <c r="C494" s="48"/>
      <c r="D494" s="56"/>
      <c r="E494" s="50"/>
      <c r="F494" s="50"/>
      <c r="G494" s="57" t="s">
        <v>111</v>
      </c>
      <c r="H494" s="52" t="s">
        <v>20</v>
      </c>
      <c r="I494" s="53"/>
      <c r="J494" s="53"/>
      <c r="K494" s="54"/>
      <c r="L494" s="58">
        <f ca="1">IFERROR(__xludf.DUMMYFUNCTION("IMPORTRANGE(""https://docs.google.com/spreadsheets/d/1C3CXT74ZlgGe6_JY_1olB1XN4rF0dxEuIIF-xsYjHgg/edit?usp=sharing"",""งบกองทุน!Ew86"")"),7300)</f>
        <v>7300</v>
      </c>
      <c r="M494" s="58">
        <f>SUM(M495:M498)</f>
        <v>0</v>
      </c>
      <c r="N494" s="58">
        <f t="shared" ca="1" si="113"/>
        <v>0</v>
      </c>
    </row>
    <row r="495" spans="1:14" ht="21.75" customHeight="1" x14ac:dyDescent="0.55000000000000004">
      <c r="A495" s="247"/>
      <c r="B495" s="329"/>
      <c r="C495" s="48"/>
      <c r="D495" s="249"/>
      <c r="E495" s="50"/>
      <c r="F495" s="50"/>
      <c r="G495" s="51" t="s">
        <v>112</v>
      </c>
      <c r="H495" s="52" t="s">
        <v>20</v>
      </c>
      <c r="I495" s="73"/>
      <c r="J495" s="73"/>
      <c r="K495" s="250"/>
      <c r="L495" s="58"/>
      <c r="M495" s="58">
        <v>0</v>
      </c>
      <c r="N495" s="58"/>
    </row>
    <row r="496" spans="1:14" ht="21.75" customHeight="1" x14ac:dyDescent="0.55000000000000004">
      <c r="A496" s="247"/>
      <c r="B496" s="329"/>
      <c r="C496" s="48"/>
      <c r="D496" s="249"/>
      <c r="E496" s="50"/>
      <c r="F496" s="50"/>
      <c r="G496" s="51" t="s">
        <v>113</v>
      </c>
      <c r="H496" s="52" t="s">
        <v>20</v>
      </c>
      <c r="I496" s="73"/>
      <c r="J496" s="73"/>
      <c r="K496" s="250"/>
      <c r="L496" s="58"/>
      <c r="M496" s="58">
        <v>0</v>
      </c>
      <c r="N496" s="58"/>
    </row>
    <row r="497" spans="1:14" ht="21.75" customHeight="1" x14ac:dyDescent="0.55000000000000004">
      <c r="A497" s="247"/>
      <c r="B497" s="329"/>
      <c r="C497" s="48"/>
      <c r="D497" s="249"/>
      <c r="E497" s="50"/>
      <c r="F497" s="50"/>
      <c r="G497" s="51" t="s">
        <v>114</v>
      </c>
      <c r="H497" s="52" t="s">
        <v>20</v>
      </c>
      <c r="I497" s="73"/>
      <c r="J497" s="73"/>
      <c r="K497" s="250"/>
      <c r="L497" s="58"/>
      <c r="M497" s="59">
        <v>0</v>
      </c>
      <c r="N497" s="58"/>
    </row>
    <row r="498" spans="1:14" ht="21.75" customHeight="1" x14ac:dyDescent="0.55000000000000004">
      <c r="A498" s="247"/>
      <c r="B498" s="329"/>
      <c r="C498" s="48"/>
      <c r="D498" s="249"/>
      <c r="E498" s="50"/>
      <c r="F498" s="50"/>
      <c r="G498" s="51" t="s">
        <v>115</v>
      </c>
      <c r="H498" s="52" t="s">
        <v>20</v>
      </c>
      <c r="I498" s="73"/>
      <c r="J498" s="73"/>
      <c r="K498" s="250"/>
      <c r="L498" s="58"/>
      <c r="M498" s="59">
        <v>0</v>
      </c>
      <c r="N498" s="58"/>
    </row>
    <row r="499" spans="1:14" ht="21.75" customHeight="1" x14ac:dyDescent="0.55000000000000004">
      <c r="A499" s="60"/>
      <c r="B499" s="67"/>
      <c r="C499" s="48" t="s">
        <v>17</v>
      </c>
      <c r="D499" s="62" t="s">
        <v>25</v>
      </c>
      <c r="E499" s="63"/>
      <c r="F499" s="63"/>
      <c r="G499" s="64"/>
      <c r="H499" s="65"/>
      <c r="I499" s="53"/>
      <c r="J499" s="53"/>
      <c r="K499" s="54"/>
      <c r="L499" s="66"/>
      <c r="M499" s="66"/>
      <c r="N499" s="66"/>
    </row>
    <row r="500" spans="1:14" ht="21.75" customHeight="1" x14ac:dyDescent="0.55000000000000004">
      <c r="A500" s="60"/>
      <c r="B500" s="67"/>
      <c r="C500" s="67"/>
      <c r="D500" s="68">
        <v>1</v>
      </c>
      <c r="E500" s="69" t="s">
        <v>26</v>
      </c>
      <c r="F500" s="70"/>
      <c r="G500" s="71"/>
      <c r="H500" s="72"/>
      <c r="I500" s="73"/>
      <c r="J500" s="74">
        <v>0</v>
      </c>
      <c r="K500" s="54"/>
      <c r="L500" s="66"/>
      <c r="M500" s="66"/>
      <c r="N500" s="66"/>
    </row>
    <row r="501" spans="1:14" ht="21.75" customHeight="1" x14ac:dyDescent="0.55000000000000004">
      <c r="A501" s="60"/>
      <c r="B501" s="67"/>
      <c r="C501" s="67"/>
      <c r="D501" s="75">
        <v>2</v>
      </c>
      <c r="E501" s="76" t="s">
        <v>27</v>
      </c>
      <c r="F501" s="77"/>
      <c r="G501" s="78"/>
      <c r="H501" s="72"/>
      <c r="I501" s="73"/>
      <c r="J501" s="74">
        <v>0</v>
      </c>
      <c r="K501" s="54"/>
      <c r="L501" s="66" t="s">
        <v>21</v>
      </c>
      <c r="M501" s="66" t="s">
        <v>21</v>
      </c>
      <c r="N501" s="66"/>
    </row>
    <row r="502" spans="1:14" ht="21.75" hidden="1" customHeight="1" x14ac:dyDescent="0.55000000000000004">
      <c r="A502" s="344"/>
      <c r="B502" s="346"/>
      <c r="C502" s="346"/>
      <c r="D502" s="345"/>
      <c r="E502" s="347" t="s">
        <v>28</v>
      </c>
      <c r="F502" s="348"/>
      <c r="G502" s="349"/>
      <c r="H502" s="350"/>
      <c r="I502" s="351"/>
      <c r="J502" s="351">
        <v>0</v>
      </c>
      <c r="K502" s="352"/>
      <c r="L502" s="353"/>
      <c r="M502" s="353"/>
      <c r="N502" s="353"/>
    </row>
    <row r="503" spans="1:14" ht="21.75" hidden="1" customHeight="1" x14ac:dyDescent="0.55000000000000004">
      <c r="A503" s="344"/>
      <c r="B503" s="346"/>
      <c r="C503" s="346"/>
      <c r="D503" s="345"/>
      <c r="E503" s="347" t="s">
        <v>29</v>
      </c>
      <c r="F503" s="348"/>
      <c r="G503" s="349"/>
      <c r="H503" s="350"/>
      <c r="I503" s="351"/>
      <c r="J503" s="351">
        <v>0</v>
      </c>
      <c r="K503" s="352"/>
      <c r="L503" s="353"/>
      <c r="M503" s="353"/>
      <c r="N503" s="353"/>
    </row>
    <row r="504" spans="1:14" ht="21.75" customHeight="1" x14ac:dyDescent="0.55000000000000004">
      <c r="A504" s="60"/>
      <c r="B504" s="67"/>
      <c r="C504" s="67"/>
      <c r="D504" s="61"/>
      <c r="E504" s="80"/>
      <c r="F504" s="80" t="s">
        <v>199</v>
      </c>
      <c r="G504" s="81"/>
      <c r="H504" s="65" t="s">
        <v>103</v>
      </c>
      <c r="I504" s="73">
        <f ca="1">IFERROR(__xludf.DUMMYFUNCTION("IMPORTRANGE(""https://docs.google.com/spreadsheets/d/1C3CXT74ZlgGe6_JY_1olB1XN4rF0dxEuIIF-xsYjHgg/edit?usp=sharing"",""งบกองทุน!EZ86"")"),100)</f>
        <v>100</v>
      </c>
      <c r="J504" s="53">
        <f>+J510</f>
        <v>0</v>
      </c>
      <c r="K504" s="54">
        <f ca="1">IF(I504&gt;0,J504*100/I504,0)</f>
        <v>0</v>
      </c>
      <c r="L504" s="66"/>
      <c r="M504" s="66"/>
      <c r="N504" s="66"/>
    </row>
    <row r="505" spans="1:14" ht="21.75" customHeight="1" x14ac:dyDescent="0.55000000000000004">
      <c r="A505" s="60"/>
      <c r="B505" s="67"/>
      <c r="C505" s="67"/>
      <c r="D505" s="61"/>
      <c r="E505" s="82"/>
      <c r="F505" s="80"/>
      <c r="G505" s="105" t="s">
        <v>200</v>
      </c>
      <c r="H505" s="65" t="s">
        <v>103</v>
      </c>
      <c r="I505" s="73">
        <v>0</v>
      </c>
      <c r="J505" s="74">
        <v>0</v>
      </c>
      <c r="K505" s="54">
        <f ca="1">+J505*100/I504</f>
        <v>0</v>
      </c>
      <c r="L505" s="66"/>
      <c r="M505" s="66"/>
      <c r="N505" s="66"/>
    </row>
    <row r="506" spans="1:14" ht="21.75" customHeight="1" x14ac:dyDescent="0.55000000000000004">
      <c r="A506" s="60"/>
      <c r="B506" s="67"/>
      <c r="C506" s="67"/>
      <c r="D506" s="61"/>
      <c r="E506" s="82"/>
      <c r="F506" s="80"/>
      <c r="G506" s="105" t="s">
        <v>201</v>
      </c>
      <c r="H506" s="65" t="s">
        <v>103</v>
      </c>
      <c r="I506" s="73">
        <v>0</v>
      </c>
      <c r="J506" s="74">
        <v>0</v>
      </c>
      <c r="K506" s="54">
        <f ca="1">+J506*100/I504</f>
        <v>0</v>
      </c>
      <c r="L506" s="66"/>
      <c r="M506" s="66"/>
      <c r="N506" s="66"/>
    </row>
    <row r="507" spans="1:14" ht="21.75" customHeight="1" x14ac:dyDescent="0.55000000000000004">
      <c r="A507" s="60"/>
      <c r="B507" s="67"/>
      <c r="C507" s="67"/>
      <c r="D507" s="61"/>
      <c r="E507" s="82"/>
      <c r="F507" s="80"/>
      <c r="G507" s="105" t="s">
        <v>202</v>
      </c>
      <c r="H507" s="65" t="s">
        <v>103</v>
      </c>
      <c r="I507" s="73">
        <v>0</v>
      </c>
      <c r="J507" s="74">
        <v>0</v>
      </c>
      <c r="K507" s="54">
        <f ca="1">+J507*100/I504</f>
        <v>0</v>
      </c>
      <c r="L507" s="66"/>
      <c r="M507" s="66"/>
      <c r="N507" s="66"/>
    </row>
    <row r="508" spans="1:14" ht="21.75" customHeight="1" x14ac:dyDescent="0.55000000000000004">
      <c r="A508" s="60"/>
      <c r="B508" s="67"/>
      <c r="C508" s="67"/>
      <c r="D508" s="61"/>
      <c r="E508" s="82"/>
      <c r="F508" s="80"/>
      <c r="G508" s="105" t="s">
        <v>203</v>
      </c>
      <c r="H508" s="65" t="s">
        <v>103</v>
      </c>
      <c r="I508" s="73">
        <v>0</v>
      </c>
      <c r="J508" s="74">
        <v>0</v>
      </c>
      <c r="K508" s="54">
        <f ca="1">+J508*100/I504</f>
        <v>0</v>
      </c>
      <c r="L508" s="66"/>
      <c r="M508" s="66"/>
      <c r="N508" s="66"/>
    </row>
    <row r="509" spans="1:14" ht="21.75" customHeight="1" x14ac:dyDescent="0.55000000000000004">
      <c r="A509" s="60"/>
      <c r="B509" s="67"/>
      <c r="C509" s="67"/>
      <c r="D509" s="61"/>
      <c r="E509" s="82"/>
      <c r="F509" s="80"/>
      <c r="G509" s="79" t="s">
        <v>204</v>
      </c>
      <c r="H509" s="65" t="s">
        <v>103</v>
      </c>
      <c r="I509" s="73">
        <v>0</v>
      </c>
      <c r="J509" s="74">
        <v>0</v>
      </c>
      <c r="K509" s="54">
        <f ca="1">+J509*100/I504</f>
        <v>0</v>
      </c>
      <c r="L509" s="66"/>
      <c r="M509" s="66"/>
      <c r="N509" s="66"/>
    </row>
    <row r="510" spans="1:14" ht="21.75" customHeight="1" x14ac:dyDescent="0.55000000000000004">
      <c r="A510" s="60"/>
      <c r="B510" s="67"/>
      <c r="C510" s="67"/>
      <c r="D510" s="61"/>
      <c r="E510" s="82"/>
      <c r="F510" s="80"/>
      <c r="G510" s="79" t="s">
        <v>205</v>
      </c>
      <c r="H510" s="65" t="s">
        <v>103</v>
      </c>
      <c r="I510" s="73">
        <f t="shared" ref="I510:J510" si="115">I511+I512</f>
        <v>0</v>
      </c>
      <c r="J510" s="73">
        <f t="shared" si="115"/>
        <v>0</v>
      </c>
      <c r="K510" s="54"/>
      <c r="L510" s="66"/>
      <c r="M510" s="66"/>
      <c r="N510" s="66"/>
    </row>
    <row r="511" spans="1:14" ht="21.75" customHeight="1" x14ac:dyDescent="0.55000000000000004">
      <c r="A511" s="60"/>
      <c r="B511" s="67"/>
      <c r="C511" s="67"/>
      <c r="D511" s="61"/>
      <c r="E511" s="82"/>
      <c r="F511" s="80"/>
      <c r="G511" s="354" t="s">
        <v>206</v>
      </c>
      <c r="H511" s="65" t="s">
        <v>103</v>
      </c>
      <c r="I511" s="73">
        <v>0</v>
      </c>
      <c r="J511" s="74">
        <v>0</v>
      </c>
      <c r="K511" s="54">
        <f ca="1">+J511*100/I504</f>
        <v>0</v>
      </c>
      <c r="L511" s="66"/>
      <c r="M511" s="66"/>
      <c r="N511" s="66"/>
    </row>
    <row r="512" spans="1:14" ht="21.75" customHeight="1" x14ac:dyDescent="0.55000000000000004">
      <c r="A512" s="60"/>
      <c r="B512" s="67"/>
      <c r="C512" s="67"/>
      <c r="D512" s="61"/>
      <c r="E512" s="82"/>
      <c r="F512" s="80"/>
      <c r="G512" s="354" t="s">
        <v>207</v>
      </c>
      <c r="H512" s="65" t="s">
        <v>103</v>
      </c>
      <c r="I512" s="73">
        <v>0</v>
      </c>
      <c r="J512" s="74">
        <v>0</v>
      </c>
      <c r="K512" s="54">
        <f ca="1">+J512*100/I504</f>
        <v>0</v>
      </c>
      <c r="L512" s="66"/>
      <c r="M512" s="66"/>
      <c r="N512" s="66"/>
    </row>
    <row r="513" spans="1:14" ht="21.75" customHeight="1" x14ac:dyDescent="0.55000000000000004">
      <c r="A513" s="60"/>
      <c r="B513" s="67"/>
      <c r="C513" s="67"/>
      <c r="D513" s="61"/>
      <c r="E513" s="80"/>
      <c r="F513" s="79" t="s">
        <v>208</v>
      </c>
      <c r="G513" s="81"/>
      <c r="H513" s="65" t="s">
        <v>103</v>
      </c>
      <c r="I513" s="73">
        <f ca="1">IFERROR(__xludf.DUMMYFUNCTION("IMPORTRANGE(""https://docs.google.com/spreadsheets/d/1C3CXT74ZlgGe6_JY_1olB1XN4rF0dxEuIIF-xsYjHgg/edit?usp=sharing"",""งบกองทุน!ff86"")"),0)</f>
        <v>0</v>
      </c>
      <c r="J513" s="53">
        <f>J514</f>
        <v>0</v>
      </c>
      <c r="K513" s="54">
        <f ca="1">IF(I513&gt;0,J513*100/I513,0)</f>
        <v>0</v>
      </c>
      <c r="L513" s="66"/>
      <c r="M513" s="66"/>
      <c r="N513" s="66"/>
    </row>
    <row r="514" spans="1:14" ht="21.75" customHeight="1" x14ac:dyDescent="0.55000000000000004">
      <c r="A514" s="60"/>
      <c r="B514" s="67"/>
      <c r="C514" s="67"/>
      <c r="D514" s="61"/>
      <c r="E514" s="82"/>
      <c r="F514" s="80"/>
      <c r="G514" s="105" t="s">
        <v>205</v>
      </c>
      <c r="H514" s="65" t="s">
        <v>103</v>
      </c>
      <c r="I514" s="53">
        <f t="shared" ref="I514:J514" si="116">I515+I516</f>
        <v>0</v>
      </c>
      <c r="J514" s="53">
        <f t="shared" si="116"/>
        <v>0</v>
      </c>
      <c r="K514" s="54">
        <f ca="1">IF(I513&gt;0,J514*100/I513,0)</f>
        <v>0</v>
      </c>
      <c r="L514" s="66"/>
      <c r="M514" s="66"/>
      <c r="N514" s="66"/>
    </row>
    <row r="515" spans="1:14" ht="21.75" customHeight="1" x14ac:dyDescent="0.55000000000000004">
      <c r="A515" s="60"/>
      <c r="B515" s="67"/>
      <c r="C515" s="67"/>
      <c r="D515" s="61"/>
      <c r="E515" s="82"/>
      <c r="F515" s="80"/>
      <c r="G515" s="354" t="s">
        <v>206</v>
      </c>
      <c r="H515" s="65" t="s">
        <v>103</v>
      </c>
      <c r="I515" s="73">
        <v>0</v>
      </c>
      <c r="J515" s="74">
        <v>0</v>
      </c>
      <c r="K515" s="54">
        <f ca="1">IF(I513&gt;0,J514*100/I513,0)</f>
        <v>0</v>
      </c>
      <c r="L515" s="66"/>
      <c r="M515" s="66"/>
      <c r="N515" s="66"/>
    </row>
    <row r="516" spans="1:14" ht="21.75" customHeight="1" x14ac:dyDescent="0.55000000000000004">
      <c r="A516" s="60"/>
      <c r="B516" s="67"/>
      <c r="C516" s="67"/>
      <c r="D516" s="61"/>
      <c r="E516" s="82"/>
      <c r="F516" s="80"/>
      <c r="G516" s="354" t="s">
        <v>207</v>
      </c>
      <c r="H516" s="65" t="s">
        <v>103</v>
      </c>
      <c r="I516" s="73">
        <v>0</v>
      </c>
      <c r="J516" s="74">
        <v>0</v>
      </c>
      <c r="K516" s="54">
        <f ca="1">IF(I513&gt;0,J516*100/I513,0)</f>
        <v>0</v>
      </c>
      <c r="L516" s="66"/>
      <c r="M516" s="66"/>
      <c r="N516" s="66"/>
    </row>
    <row r="517" spans="1:14" ht="21.75" customHeight="1" x14ac:dyDescent="0.55000000000000004">
      <c r="A517" s="60"/>
      <c r="B517" s="67"/>
      <c r="C517" s="67"/>
      <c r="D517" s="61"/>
      <c r="E517" s="82"/>
      <c r="F517" s="80"/>
      <c r="G517" s="105" t="s">
        <v>209</v>
      </c>
      <c r="H517" s="65" t="s">
        <v>103</v>
      </c>
      <c r="I517" s="73">
        <f t="shared" ref="I517:J517" si="117">SUM(I518:I519)</f>
        <v>0</v>
      </c>
      <c r="J517" s="73">
        <f t="shared" si="117"/>
        <v>0</v>
      </c>
      <c r="K517" s="54"/>
      <c r="L517" s="66"/>
      <c r="M517" s="66"/>
      <c r="N517" s="66"/>
    </row>
    <row r="518" spans="1:14" ht="21.75" customHeight="1" x14ac:dyDescent="0.55000000000000004">
      <c r="A518" s="60"/>
      <c r="B518" s="67"/>
      <c r="C518" s="67"/>
      <c r="D518" s="61"/>
      <c r="E518" s="82"/>
      <c r="F518" s="80"/>
      <c r="G518" s="354" t="s">
        <v>210</v>
      </c>
      <c r="H518" s="65" t="s">
        <v>103</v>
      </c>
      <c r="I518" s="73">
        <v>0</v>
      </c>
      <c r="J518" s="74">
        <v>0</v>
      </c>
      <c r="K518" s="54">
        <f ca="1">IF(I513&gt;0,J518*100/I513,0)</f>
        <v>0</v>
      </c>
      <c r="L518" s="66"/>
      <c r="M518" s="66"/>
      <c r="N518" s="66"/>
    </row>
    <row r="519" spans="1:14" ht="21.75" customHeight="1" x14ac:dyDescent="0.55000000000000004">
      <c r="A519" s="60"/>
      <c r="B519" s="67"/>
      <c r="C519" s="67"/>
      <c r="D519" s="61"/>
      <c r="E519" s="82"/>
      <c r="F519" s="80"/>
      <c r="G519" s="354" t="s">
        <v>211</v>
      </c>
      <c r="H519" s="65" t="s">
        <v>103</v>
      </c>
      <c r="I519" s="73">
        <v>0</v>
      </c>
      <c r="J519" s="74">
        <v>0</v>
      </c>
      <c r="K519" s="122">
        <f ca="1">IF(I513&gt;0,J519*100/I513,0)</f>
        <v>0</v>
      </c>
      <c r="L519" s="66"/>
      <c r="M519" s="66"/>
      <c r="N519" s="66"/>
    </row>
    <row r="520" spans="1:14" ht="21.75" customHeight="1" x14ac:dyDescent="0.55000000000000004">
      <c r="A520" s="355" t="s">
        <v>212</v>
      </c>
      <c r="B520" s="357"/>
      <c r="C520" s="357"/>
      <c r="D520" s="357"/>
      <c r="E520" s="357"/>
      <c r="F520" s="357"/>
      <c r="G520" s="358"/>
      <c r="H520" s="359"/>
      <c r="I520" s="360"/>
      <c r="J520" s="360"/>
      <c r="K520" s="361"/>
      <c r="L520" s="361"/>
      <c r="M520" s="361"/>
      <c r="N520" s="362"/>
    </row>
    <row r="521" spans="1:14" ht="21.75" customHeight="1" x14ac:dyDescent="0.55000000000000004">
      <c r="A521" s="335"/>
      <c r="B521" s="50" t="s">
        <v>213</v>
      </c>
      <c r="C521" s="48"/>
      <c r="D521" s="56"/>
      <c r="E521" s="50"/>
      <c r="F521" s="50"/>
      <c r="G521" s="51"/>
      <c r="H521" s="364" t="s">
        <v>20</v>
      </c>
      <c r="I521" s="214">
        <f ca="1">IFERROR(__xludf.DUMMYFUNCTION("IMPORTRANGE(""https://docs.google.com/spreadsheets/d/1muirlRDkqiswvy_NRZ3Yh955hx-PF6_HhssUYiSJj8o/edit?usp=sharing"",""กองทุน!D86"")"),239401.329999999)</f>
        <v>239401.329999999</v>
      </c>
      <c r="J521" s="214">
        <f ca="1">IFERROR(__xludf.DUMMYFUNCTION("IMPORTRANGE(""https://docs.google.com/spreadsheets/d/1muirlRDkqiswvy_NRZ3Yh955hx-PF6_HhssUYiSJj8o/edit?usp=sharing"",""กองทุน!F86"")"),0)</f>
        <v>0</v>
      </c>
      <c r="K521" s="215">
        <f t="shared" ref="K521:K528" ca="1" si="118">IF(I521&gt;0,J521*100/I521,0)</f>
        <v>0</v>
      </c>
      <c r="L521" s="215"/>
      <c r="M521" s="215"/>
      <c r="N521" s="58"/>
    </row>
    <row r="522" spans="1:14" ht="21.75" customHeight="1" x14ac:dyDescent="0.55000000000000004">
      <c r="A522" s="335"/>
      <c r="B522" s="48"/>
      <c r="C522" s="48"/>
      <c r="D522" s="56"/>
      <c r="E522" s="50"/>
      <c r="F522" s="50"/>
      <c r="G522" s="51"/>
      <c r="H522" s="364" t="s">
        <v>16</v>
      </c>
      <c r="I522" s="214">
        <f ca="1">IFERROR(__xludf.DUMMYFUNCTION("IMPORTRANGE(""https://docs.google.com/spreadsheets/d/1muirlRDkqiswvy_NRZ3Yh955hx-PF6_HhssUYiSJj8o/edit?usp=sharing"",""กองทุน!C86"")"),20)</f>
        <v>20</v>
      </c>
      <c r="J522" s="214">
        <f ca="1">IFERROR(__xludf.DUMMYFUNCTION("IMPORTRANGE(""https://docs.google.com/spreadsheets/d/1muirlRDkqiswvy_NRZ3Yh955hx-PF6_HhssUYiSJj8o/edit?usp=sharing"",""กองทุน!E86"")"),0)</f>
        <v>0</v>
      </c>
      <c r="K522" s="215">
        <f t="shared" ca="1" si="118"/>
        <v>0</v>
      </c>
      <c r="L522" s="215"/>
      <c r="M522" s="215"/>
      <c r="N522" s="58"/>
    </row>
    <row r="523" spans="1:14" ht="21.75" customHeight="1" x14ac:dyDescent="0.55000000000000004">
      <c r="A523" s="335"/>
      <c r="B523" s="50" t="s">
        <v>214</v>
      </c>
      <c r="C523" s="48"/>
      <c r="D523" s="56"/>
      <c r="E523" s="50"/>
      <c r="F523" s="50"/>
      <c r="G523" s="51"/>
      <c r="H523" s="364" t="s">
        <v>20</v>
      </c>
      <c r="I523" s="214">
        <f ca="1">IFERROR(__xludf.DUMMYFUNCTION("IMPORTRANGE(""https://docs.google.com/spreadsheets/d/1muirlRDkqiswvy_NRZ3Yh955hx-PF6_HhssUYiSJj8o/edit?usp=sharing"",""กองทุน!I86"")"),2242432.42)</f>
        <v>2242432.42</v>
      </c>
      <c r="J523" s="214">
        <f ca="1">IFERROR(__xludf.DUMMYFUNCTION("IMPORTRANGE(""https://docs.google.com/spreadsheets/d/1muirlRDkqiswvy_NRZ3Yh955hx-PF6_HhssUYiSJj8o/edit?usp=sharing"",""กองทุน!K86"")"),19693.86)</f>
        <v>19693.86</v>
      </c>
      <c r="K523" s="215">
        <f t="shared" ca="1" si="118"/>
        <v>0.87823649998781239</v>
      </c>
      <c r="L523" s="215"/>
      <c r="M523" s="215"/>
      <c r="N523" s="58"/>
    </row>
    <row r="524" spans="1:14" ht="21.75" customHeight="1" x14ac:dyDescent="0.55000000000000004">
      <c r="A524" s="335"/>
      <c r="B524" s="48"/>
      <c r="C524" s="48"/>
      <c r="D524" s="56"/>
      <c r="E524" s="50"/>
      <c r="F524" s="50"/>
      <c r="G524" s="51"/>
      <c r="H524" s="364" t="s">
        <v>16</v>
      </c>
      <c r="I524" s="214">
        <f ca="1">IFERROR(__xludf.DUMMYFUNCTION("IMPORTRANGE(""https://docs.google.com/spreadsheets/d/1muirlRDkqiswvy_NRZ3Yh955hx-PF6_HhssUYiSJj8o/edit?usp=sharing"",""กองทุน!H86"")"),149)</f>
        <v>149</v>
      </c>
      <c r="J524" s="214">
        <f ca="1">IFERROR(__xludf.DUMMYFUNCTION("IMPORTRANGE(""https://docs.google.com/spreadsheets/d/1muirlRDkqiswvy_NRZ3Yh955hx-PF6_HhssUYiSJj8o/edit?usp=sharing"",""กองทุน!J86"")"),42)</f>
        <v>42</v>
      </c>
      <c r="K524" s="215">
        <f t="shared" ca="1" si="118"/>
        <v>28.187919463087248</v>
      </c>
      <c r="L524" s="215"/>
      <c r="M524" s="215"/>
      <c r="N524" s="58"/>
    </row>
    <row r="525" spans="1:14" ht="21.75" customHeight="1" x14ac:dyDescent="0.55000000000000004">
      <c r="A525" s="335"/>
      <c r="B525" s="50" t="s">
        <v>215</v>
      </c>
      <c r="C525" s="48"/>
      <c r="D525" s="56"/>
      <c r="E525" s="50"/>
      <c r="F525" s="50"/>
      <c r="G525" s="51"/>
      <c r="H525" s="364" t="s">
        <v>20</v>
      </c>
      <c r="I525" s="214">
        <f ca="1">IFERROR(__xludf.DUMMYFUNCTION("IMPORTRANGE(""https://docs.google.com/spreadsheets/d/1muirlRDkqiswvy_NRZ3Yh955hx-PF6_HhssUYiSJj8o/edit?usp=sharing"",""กองทุน!N86"")"),45520.74)</f>
        <v>45520.74</v>
      </c>
      <c r="J525" s="214">
        <f ca="1">IFERROR(__xludf.DUMMYFUNCTION("IMPORTRANGE(""https://docs.google.com/spreadsheets/d/1muirlRDkqiswvy_NRZ3Yh955hx-PF6_HhssUYiSJj8o/edit?usp=sharing"",""กองทุน!P86"")"),2513.95)</f>
        <v>2513.9499999999998</v>
      </c>
      <c r="K525" s="215">
        <f t="shared" ca="1" si="118"/>
        <v>5.5226474789293842</v>
      </c>
      <c r="L525" s="215"/>
      <c r="M525" s="215"/>
      <c r="N525" s="58"/>
    </row>
    <row r="526" spans="1:14" ht="21.75" customHeight="1" x14ac:dyDescent="0.55000000000000004">
      <c r="A526" s="335"/>
      <c r="B526" s="50"/>
      <c r="C526" s="48"/>
      <c r="D526" s="56"/>
      <c r="E526" s="50"/>
      <c r="F526" s="50"/>
      <c r="G526" s="51"/>
      <c r="H526" s="364" t="s">
        <v>16</v>
      </c>
      <c r="I526" s="214">
        <f ca="1">IFERROR(__xludf.DUMMYFUNCTION("IMPORTRANGE(""https://docs.google.com/spreadsheets/d/1muirlRDkqiswvy_NRZ3Yh955hx-PF6_HhssUYiSJj8o/edit?usp=sharing"",""กองทุน!M86"")"),86)</f>
        <v>86</v>
      </c>
      <c r="J526" s="214">
        <f ca="1">IFERROR(__xludf.DUMMYFUNCTION("IMPORTRANGE(""https://docs.google.com/spreadsheets/d/1muirlRDkqiswvy_NRZ3Yh955hx-PF6_HhssUYiSJj8o/edit?usp=sharing"",""กองทุน!O86"")"),8)</f>
        <v>8</v>
      </c>
      <c r="K526" s="215">
        <f t="shared" ca="1" si="118"/>
        <v>9.3023255813953494</v>
      </c>
      <c r="L526" s="215"/>
      <c r="M526" s="215"/>
      <c r="N526" s="58"/>
    </row>
    <row r="527" spans="1:14" ht="21.75" customHeight="1" x14ac:dyDescent="0.55000000000000004">
      <c r="A527" s="335"/>
      <c r="B527" s="50" t="s">
        <v>216</v>
      </c>
      <c r="C527" s="48"/>
      <c r="D527" s="56"/>
      <c r="E527" s="50"/>
      <c r="F527" s="50"/>
      <c r="G527" s="51"/>
      <c r="H527" s="364" t="s">
        <v>20</v>
      </c>
      <c r="I527" s="214">
        <f ca="1">IFERROR(__xludf.DUMMYFUNCTION("IMPORTRANGE(""https://docs.google.com/spreadsheets/d/1muirlRDkqiswvy_NRZ3Yh955hx-PF6_HhssUYiSJj8o/edit?usp=sharing"",""กองทุน!S86"")"),144000)</f>
        <v>144000</v>
      </c>
      <c r="J527" s="214">
        <f ca="1">IFERROR(__xludf.DUMMYFUNCTION("IMPORTRANGE(""https://docs.google.com/spreadsheets/d/1muirlRDkqiswvy_NRZ3Yh955hx-PF6_HhssUYiSJj8o/edit?usp=sharing"",""กองทุน!U86"")"),0)</f>
        <v>0</v>
      </c>
      <c r="K527" s="215">
        <f t="shared" ca="1" si="118"/>
        <v>0</v>
      </c>
      <c r="L527" s="215"/>
      <c r="M527" s="215"/>
      <c r="N527" s="58"/>
    </row>
    <row r="528" spans="1:14" ht="21.75" customHeight="1" x14ac:dyDescent="0.55000000000000004">
      <c r="A528" s="337"/>
      <c r="B528" s="339"/>
      <c r="C528" s="339"/>
      <c r="D528" s="366"/>
      <c r="E528" s="367"/>
      <c r="F528" s="367"/>
      <c r="G528" s="368"/>
      <c r="H528" s="369" t="s">
        <v>16</v>
      </c>
      <c r="I528" s="342">
        <f ca="1">IFERROR(__xludf.DUMMYFUNCTION("IMPORTRANGE(""https://docs.google.com/spreadsheets/d/1muirlRDkqiswvy_NRZ3Yh955hx-PF6_HhssUYiSJj8o/edit?usp=sharing"",""กองทุน!R86"")"),4)</f>
        <v>4</v>
      </c>
      <c r="J528" s="342">
        <f ca="1">IFERROR(__xludf.DUMMYFUNCTION("IMPORTRANGE(""https://docs.google.com/spreadsheets/d/1muirlRDkqiswvy_NRZ3Yh955hx-PF6_HhssUYiSJj8o/edit?usp=sharing"",""กองทุน!T86"")"),0)</f>
        <v>0</v>
      </c>
      <c r="K528" s="370">
        <f t="shared" ca="1" si="118"/>
        <v>0</v>
      </c>
      <c r="L528" s="370"/>
      <c r="M528" s="370"/>
      <c r="N528" s="371"/>
    </row>
    <row r="529" spans="1:14" ht="21.75" customHeight="1" x14ac:dyDescent="0.55000000000000004">
      <c r="A529" s="372"/>
      <c r="B529" s="372"/>
      <c r="C529" s="372"/>
      <c r="D529" s="372"/>
      <c r="E529" s="373" t="s">
        <v>217</v>
      </c>
      <c r="F529" s="373"/>
      <c r="G529" s="374"/>
      <c r="H529" s="375"/>
      <c r="I529" s="375"/>
      <c r="J529" s="375"/>
      <c r="K529" s="376"/>
      <c r="L529" s="377"/>
      <c r="M529" s="377"/>
      <c r="N529" s="378"/>
    </row>
    <row r="530" spans="1:14" ht="21.75" customHeight="1" x14ac:dyDescent="0.55000000000000004">
      <c r="A530" s="372"/>
      <c r="B530" s="372"/>
      <c r="C530" s="372"/>
      <c r="D530" s="372"/>
      <c r="E530" s="375"/>
      <c r="F530" s="375"/>
      <c r="G530" s="375"/>
      <c r="H530" s="375"/>
      <c r="I530" s="375"/>
      <c r="J530" s="375"/>
      <c r="K530" s="376"/>
      <c r="L530" s="377"/>
      <c r="M530" s="377"/>
      <c r="N530" s="378"/>
    </row>
    <row r="531" spans="1:14" ht="21.75" customHeight="1" x14ac:dyDescent="0.55000000000000004">
      <c r="A531" s="372"/>
      <c r="B531" s="372"/>
      <c r="C531" s="372"/>
      <c r="D531" s="372"/>
      <c r="E531" s="375"/>
      <c r="F531" s="375"/>
      <c r="G531" s="375"/>
      <c r="H531" s="375"/>
      <c r="I531" s="375"/>
      <c r="J531" s="375"/>
      <c r="K531" s="376"/>
      <c r="L531" s="377"/>
      <c r="M531" s="377"/>
      <c r="N531" s="378"/>
    </row>
    <row r="532" spans="1:14" ht="21.75" customHeight="1" x14ac:dyDescent="0.55000000000000004">
      <c r="A532" s="372"/>
      <c r="B532" s="372"/>
      <c r="C532" s="372"/>
      <c r="D532" s="372"/>
      <c r="E532" s="375"/>
      <c r="F532" s="375"/>
      <c r="G532" s="375"/>
      <c r="H532" s="375"/>
      <c r="I532" s="375"/>
      <c r="J532" s="375"/>
      <c r="K532" s="376"/>
      <c r="L532" s="377"/>
      <c r="M532" s="377"/>
      <c r="N532" s="378"/>
    </row>
    <row r="533" spans="1:14" ht="21.75" customHeight="1" x14ac:dyDescent="0.55000000000000004">
      <c r="A533" s="372"/>
      <c r="B533" s="372"/>
      <c r="C533" s="372"/>
      <c r="D533" s="372"/>
      <c r="E533" s="375"/>
      <c r="F533" s="375"/>
      <c r="G533" s="375"/>
      <c r="H533" s="375"/>
      <c r="I533" s="375"/>
      <c r="J533" s="375"/>
      <c r="K533" s="376"/>
      <c r="L533" s="377"/>
      <c r="M533" s="377"/>
      <c r="N533" s="378"/>
    </row>
    <row r="534" spans="1:14" ht="21.75" customHeight="1" x14ac:dyDescent="0.55000000000000004">
      <c r="A534" s="372"/>
      <c r="B534" s="372"/>
      <c r="C534" s="372"/>
      <c r="D534" s="372"/>
      <c r="E534" s="375"/>
      <c r="F534" s="375"/>
      <c r="G534" s="375"/>
      <c r="H534" s="375"/>
      <c r="I534" s="375"/>
      <c r="J534" s="375"/>
      <c r="K534" s="376"/>
      <c r="L534" s="377"/>
      <c r="M534" s="377"/>
      <c r="N534" s="378"/>
    </row>
    <row r="535" spans="1:14" ht="21.75" customHeight="1" x14ac:dyDescent="0.55000000000000004">
      <c r="A535" s="372"/>
      <c r="B535" s="372"/>
      <c r="C535" s="372"/>
      <c r="D535" s="372"/>
      <c r="E535" s="375"/>
      <c r="F535" s="375"/>
      <c r="G535" s="375"/>
      <c r="H535" s="375"/>
      <c r="I535" s="375"/>
      <c r="J535" s="375"/>
      <c r="K535" s="376"/>
      <c r="L535" s="377"/>
      <c r="M535" s="377"/>
      <c r="N535" s="378"/>
    </row>
    <row r="536" spans="1:14" ht="21.75" customHeight="1" x14ac:dyDescent="0.55000000000000004">
      <c r="A536" s="372"/>
      <c r="B536" s="372"/>
      <c r="C536" s="372"/>
      <c r="D536" s="372"/>
      <c r="E536" s="375"/>
      <c r="F536" s="375"/>
      <c r="G536" s="375"/>
      <c r="H536" s="375"/>
      <c r="I536" s="375"/>
      <c r="J536" s="375"/>
      <c r="K536" s="376"/>
      <c r="L536" s="377"/>
      <c r="M536" s="377"/>
      <c r="N536" s="378"/>
    </row>
    <row r="537" spans="1:14" ht="21.75" customHeight="1" x14ac:dyDescent="0.55000000000000004">
      <c r="A537" s="372"/>
      <c r="B537" s="372"/>
      <c r="C537" s="372"/>
      <c r="D537" s="372"/>
      <c r="E537" s="375"/>
      <c r="F537" s="375"/>
      <c r="G537" s="375"/>
      <c r="H537" s="375"/>
      <c r="I537" s="375"/>
      <c r="J537" s="375"/>
      <c r="K537" s="376"/>
      <c r="L537" s="377"/>
      <c r="M537" s="377"/>
      <c r="N537" s="378"/>
    </row>
    <row r="538" spans="1:14" ht="21.75" customHeight="1" x14ac:dyDescent="0.55000000000000004">
      <c r="A538" s="372"/>
      <c r="B538" s="372"/>
      <c r="C538" s="372"/>
      <c r="D538" s="372"/>
      <c r="E538" s="375"/>
      <c r="F538" s="375"/>
      <c r="G538" s="375"/>
      <c r="H538" s="375"/>
      <c r="I538" s="375"/>
      <c r="J538" s="375"/>
      <c r="K538" s="376"/>
      <c r="L538" s="377"/>
      <c r="M538" s="377"/>
      <c r="N538" s="378"/>
    </row>
    <row r="539" spans="1:14" ht="21.75" customHeight="1" x14ac:dyDescent="0.55000000000000004">
      <c r="A539" s="372"/>
      <c r="B539" s="372"/>
      <c r="C539" s="372"/>
      <c r="D539" s="372"/>
      <c r="E539" s="375"/>
      <c r="F539" s="375"/>
      <c r="G539" s="375"/>
      <c r="H539" s="375"/>
      <c r="I539" s="375"/>
      <c r="J539" s="375"/>
      <c r="K539" s="376"/>
      <c r="L539" s="377"/>
      <c r="M539" s="377"/>
      <c r="N539" s="378"/>
    </row>
    <row r="540" spans="1:14" ht="21.75" customHeight="1" x14ac:dyDescent="0.55000000000000004">
      <c r="A540" s="372"/>
      <c r="B540" s="372"/>
      <c r="C540" s="372"/>
      <c r="D540" s="372"/>
      <c r="E540" s="375"/>
      <c r="F540" s="375"/>
      <c r="G540" s="375"/>
      <c r="H540" s="375"/>
      <c r="I540" s="375"/>
      <c r="J540" s="375"/>
      <c r="K540" s="376"/>
      <c r="L540" s="377"/>
      <c r="M540" s="377"/>
      <c r="N540" s="378"/>
    </row>
    <row r="541" spans="1:14" ht="21.75" customHeight="1" x14ac:dyDescent="0.55000000000000004">
      <c r="A541" s="372"/>
      <c r="B541" s="372"/>
      <c r="C541" s="372"/>
      <c r="D541" s="372"/>
      <c r="E541" s="375"/>
      <c r="F541" s="375"/>
      <c r="G541" s="375"/>
      <c r="H541" s="375"/>
      <c r="I541" s="375"/>
      <c r="J541" s="375"/>
      <c r="K541" s="376"/>
      <c r="L541" s="377"/>
      <c r="M541" s="377"/>
      <c r="N541" s="378"/>
    </row>
    <row r="542" spans="1:14" ht="21.75" customHeight="1" x14ac:dyDescent="0.55000000000000004">
      <c r="A542" s="372"/>
      <c r="B542" s="372"/>
      <c r="C542" s="372"/>
      <c r="D542" s="372"/>
      <c r="E542" s="375"/>
      <c r="F542" s="375"/>
      <c r="G542" s="375"/>
      <c r="H542" s="375"/>
      <c r="I542" s="375"/>
      <c r="J542" s="375"/>
      <c r="K542" s="376"/>
      <c r="L542" s="377"/>
      <c r="M542" s="377"/>
      <c r="N542" s="378"/>
    </row>
    <row r="543" spans="1:14" ht="21.75" customHeight="1" x14ac:dyDescent="0.55000000000000004">
      <c r="A543" s="372"/>
      <c r="B543" s="372"/>
      <c r="C543" s="372"/>
      <c r="D543" s="372"/>
      <c r="E543" s="375"/>
      <c r="F543" s="375"/>
      <c r="G543" s="375"/>
      <c r="H543" s="375"/>
      <c r="I543" s="375"/>
      <c r="J543" s="375"/>
      <c r="K543" s="376"/>
      <c r="L543" s="377"/>
      <c r="M543" s="377"/>
      <c r="N543" s="378"/>
    </row>
    <row r="544" spans="1:14" ht="21.75" customHeight="1" x14ac:dyDescent="0.55000000000000004">
      <c r="A544" s="372"/>
      <c r="B544" s="372"/>
      <c r="C544" s="372"/>
      <c r="D544" s="372"/>
      <c r="E544" s="375"/>
      <c r="F544" s="375"/>
      <c r="G544" s="375"/>
      <c r="H544" s="375"/>
      <c r="I544" s="375"/>
      <c r="J544" s="375"/>
      <c r="K544" s="376"/>
      <c r="L544" s="377"/>
      <c r="M544" s="377"/>
      <c r="N544" s="378"/>
    </row>
    <row r="545" spans="1:14" ht="21.75" customHeight="1" x14ac:dyDescent="0.55000000000000004">
      <c r="A545" s="372"/>
      <c r="B545" s="372"/>
      <c r="C545" s="372"/>
      <c r="D545" s="372"/>
      <c r="E545" s="375"/>
      <c r="F545" s="375"/>
      <c r="G545" s="375"/>
      <c r="H545" s="375"/>
      <c r="I545" s="375"/>
      <c r="J545" s="375"/>
      <c r="K545" s="376"/>
      <c r="L545" s="377"/>
      <c r="M545" s="377"/>
      <c r="N545" s="378"/>
    </row>
    <row r="546" spans="1:14" ht="21.75" customHeight="1" x14ac:dyDescent="0.55000000000000004">
      <c r="A546" s="372"/>
      <c r="B546" s="372"/>
      <c r="C546" s="372"/>
      <c r="D546" s="372"/>
      <c r="E546" s="375"/>
      <c r="F546" s="375"/>
      <c r="G546" s="375"/>
      <c r="H546" s="375"/>
      <c r="I546" s="375"/>
      <c r="J546" s="375"/>
      <c r="K546" s="376"/>
      <c r="L546" s="377"/>
      <c r="M546" s="377"/>
      <c r="N546" s="378"/>
    </row>
    <row r="547" spans="1:14" ht="21.75" customHeight="1" x14ac:dyDescent="0.55000000000000004">
      <c r="A547" s="372"/>
      <c r="B547" s="372"/>
      <c r="C547" s="372"/>
      <c r="D547" s="372"/>
      <c r="E547" s="375"/>
      <c r="F547" s="375"/>
      <c r="G547" s="375"/>
      <c r="H547" s="375"/>
      <c r="I547" s="375"/>
      <c r="J547" s="375"/>
      <c r="K547" s="376"/>
      <c r="L547" s="377"/>
      <c r="M547" s="377"/>
      <c r="N547" s="378"/>
    </row>
    <row r="548" spans="1:14" ht="21.75" customHeight="1" x14ac:dyDescent="0.55000000000000004">
      <c r="A548" s="372"/>
      <c r="B548" s="372"/>
      <c r="C548" s="372"/>
      <c r="D548" s="372"/>
      <c r="E548" s="375"/>
      <c r="F548" s="375"/>
      <c r="G548" s="375"/>
      <c r="H548" s="375"/>
      <c r="I548" s="375"/>
      <c r="J548" s="375"/>
      <c r="K548" s="376"/>
      <c r="L548" s="377"/>
      <c r="M548" s="377"/>
      <c r="N548" s="378"/>
    </row>
    <row r="549" spans="1:14" ht="21.75" customHeight="1" x14ac:dyDescent="0.55000000000000004">
      <c r="A549" s="372"/>
      <c r="B549" s="372"/>
      <c r="C549" s="372"/>
      <c r="D549" s="372"/>
      <c r="E549" s="375"/>
      <c r="F549" s="375"/>
      <c r="G549" s="375"/>
      <c r="H549" s="375"/>
      <c r="I549" s="375"/>
      <c r="J549" s="375"/>
      <c r="K549" s="376"/>
      <c r="L549" s="377"/>
      <c r="M549" s="377"/>
      <c r="N549" s="378"/>
    </row>
    <row r="550" spans="1:14" ht="21.75" customHeight="1" x14ac:dyDescent="0.55000000000000004">
      <c r="A550" s="372"/>
      <c r="B550" s="372"/>
      <c r="C550" s="372"/>
      <c r="D550" s="372"/>
      <c r="E550" s="375"/>
      <c r="F550" s="375"/>
      <c r="G550" s="375"/>
      <c r="H550" s="375"/>
      <c r="I550" s="375"/>
      <c r="J550" s="375"/>
      <c r="K550" s="376"/>
      <c r="L550" s="377"/>
      <c r="M550" s="377"/>
      <c r="N550" s="378"/>
    </row>
    <row r="551" spans="1:14" ht="21.75" customHeight="1" x14ac:dyDescent="0.55000000000000004">
      <c r="A551" s="372"/>
      <c r="B551" s="372"/>
      <c r="C551" s="372"/>
      <c r="D551" s="372"/>
      <c r="E551" s="375"/>
      <c r="F551" s="375"/>
      <c r="G551" s="375"/>
      <c r="H551" s="375"/>
      <c r="I551" s="375"/>
      <c r="J551" s="375"/>
      <c r="K551" s="376"/>
      <c r="L551" s="377"/>
      <c r="M551" s="377"/>
      <c r="N551" s="378"/>
    </row>
    <row r="552" spans="1:14" ht="21.75" customHeight="1" x14ac:dyDescent="0.55000000000000004">
      <c r="A552" s="372"/>
      <c r="B552" s="372"/>
      <c r="C552" s="372"/>
      <c r="D552" s="372"/>
      <c r="E552" s="375"/>
      <c r="F552" s="375"/>
      <c r="G552" s="375"/>
      <c r="H552" s="375"/>
      <c r="I552" s="375"/>
      <c r="J552" s="375"/>
      <c r="K552" s="376"/>
      <c r="L552" s="377"/>
      <c r="M552" s="377"/>
      <c r="N552" s="378"/>
    </row>
    <row r="553" spans="1:14" ht="21.75" customHeight="1" x14ac:dyDescent="0.55000000000000004">
      <c r="A553" s="372"/>
      <c r="B553" s="372"/>
      <c r="C553" s="372"/>
      <c r="D553" s="372"/>
      <c r="E553" s="375"/>
      <c r="F553" s="375"/>
      <c r="G553" s="375"/>
      <c r="H553" s="375"/>
      <c r="I553" s="375"/>
      <c r="J553" s="375"/>
      <c r="K553" s="376"/>
      <c r="L553" s="377"/>
      <c r="M553" s="377"/>
      <c r="N553" s="378"/>
    </row>
    <row r="554" spans="1:14" ht="21.75" customHeight="1" x14ac:dyDescent="0.55000000000000004">
      <c r="A554" s="372"/>
      <c r="B554" s="372"/>
      <c r="C554" s="372"/>
      <c r="D554" s="372"/>
      <c r="E554" s="375"/>
      <c r="F554" s="375"/>
      <c r="G554" s="375"/>
      <c r="H554" s="375"/>
      <c r="I554" s="375"/>
      <c r="J554" s="375"/>
      <c r="K554" s="376"/>
      <c r="L554" s="377"/>
      <c r="M554" s="377"/>
      <c r="N554" s="378"/>
    </row>
    <row r="555" spans="1:14" ht="21.75" customHeight="1" x14ac:dyDescent="0.55000000000000004">
      <c r="A555" s="372"/>
      <c r="B555" s="372"/>
      <c r="C555" s="372"/>
      <c r="D555" s="372"/>
      <c r="E555" s="375"/>
      <c r="F555" s="375"/>
      <c r="G555" s="375"/>
      <c r="H555" s="375"/>
      <c r="I555" s="375"/>
      <c r="J555" s="375"/>
      <c r="K555" s="376"/>
      <c r="L555" s="377"/>
      <c r="M555" s="377"/>
      <c r="N555" s="378"/>
    </row>
    <row r="556" spans="1:14" ht="21.75" customHeight="1" x14ac:dyDescent="0.55000000000000004">
      <c r="A556" s="372"/>
      <c r="B556" s="372"/>
      <c r="C556" s="372"/>
      <c r="D556" s="372"/>
      <c r="E556" s="375"/>
      <c r="F556" s="375"/>
      <c r="G556" s="375"/>
      <c r="H556" s="375"/>
      <c r="I556" s="375"/>
      <c r="J556" s="375"/>
      <c r="K556" s="376"/>
      <c r="L556" s="377"/>
      <c r="M556" s="377"/>
      <c r="N556" s="378"/>
    </row>
    <row r="557" spans="1:14" ht="21.75" customHeight="1" x14ac:dyDescent="0.55000000000000004">
      <c r="A557" s="372"/>
      <c r="B557" s="372"/>
      <c r="C557" s="372"/>
      <c r="D557" s="372"/>
      <c r="E557" s="375"/>
      <c r="F557" s="375"/>
      <c r="G557" s="375"/>
      <c r="H557" s="375"/>
      <c r="I557" s="375"/>
      <c r="J557" s="375"/>
      <c r="K557" s="376"/>
      <c r="L557" s="377"/>
      <c r="M557" s="377"/>
      <c r="N557" s="378"/>
    </row>
    <row r="558" spans="1:14" ht="21.75" customHeight="1" x14ac:dyDescent="0.55000000000000004">
      <c r="A558" s="372"/>
      <c r="B558" s="372"/>
      <c r="C558" s="372"/>
      <c r="D558" s="372"/>
      <c r="E558" s="375"/>
      <c r="F558" s="375"/>
      <c r="G558" s="375"/>
      <c r="H558" s="375"/>
      <c r="I558" s="375"/>
      <c r="J558" s="375"/>
      <c r="K558" s="376"/>
      <c r="L558" s="377"/>
      <c r="M558" s="377"/>
      <c r="N558" s="378"/>
    </row>
    <row r="559" spans="1:14" ht="21.75" customHeight="1" x14ac:dyDescent="0.55000000000000004">
      <c r="A559" s="372"/>
      <c r="B559" s="372"/>
      <c r="C559" s="372"/>
      <c r="D559" s="372"/>
      <c r="E559" s="375"/>
      <c r="F559" s="375"/>
      <c r="G559" s="375"/>
      <c r="H559" s="375"/>
      <c r="I559" s="375"/>
      <c r="J559" s="375"/>
      <c r="K559" s="376"/>
      <c r="L559" s="377"/>
      <c r="M559" s="377"/>
      <c r="N559" s="378"/>
    </row>
    <row r="560" spans="1:14" ht="21.75" customHeight="1" x14ac:dyDescent="0.55000000000000004">
      <c r="A560" s="372"/>
      <c r="B560" s="372"/>
      <c r="C560" s="372"/>
      <c r="D560" s="372"/>
      <c r="E560" s="375"/>
      <c r="F560" s="375"/>
      <c r="G560" s="375"/>
      <c r="H560" s="375"/>
      <c r="I560" s="375"/>
      <c r="J560" s="375"/>
      <c r="K560" s="376"/>
      <c r="L560" s="377"/>
      <c r="M560" s="377"/>
      <c r="N560" s="378"/>
    </row>
    <row r="561" spans="1:14" ht="21.75" customHeight="1" x14ac:dyDescent="0.55000000000000004">
      <c r="A561" s="372"/>
      <c r="B561" s="372"/>
      <c r="C561" s="372"/>
      <c r="D561" s="372"/>
      <c r="E561" s="375"/>
      <c r="F561" s="375"/>
      <c r="G561" s="375"/>
      <c r="H561" s="375"/>
      <c r="I561" s="375"/>
      <c r="J561" s="375"/>
      <c r="K561" s="376"/>
      <c r="L561" s="377"/>
      <c r="M561" s="377"/>
      <c r="N561" s="378"/>
    </row>
    <row r="562" spans="1:14" ht="21.75" customHeight="1" x14ac:dyDescent="0.55000000000000004">
      <c r="A562" s="372"/>
      <c r="B562" s="372"/>
      <c r="C562" s="372"/>
      <c r="D562" s="372"/>
      <c r="E562" s="375"/>
      <c r="F562" s="375"/>
      <c r="G562" s="375"/>
      <c r="H562" s="375"/>
      <c r="I562" s="375"/>
      <c r="J562" s="375"/>
      <c r="K562" s="376"/>
      <c r="L562" s="377"/>
      <c r="M562" s="377"/>
      <c r="N562" s="378"/>
    </row>
    <row r="563" spans="1:14" ht="21.75" customHeight="1" x14ac:dyDescent="0.55000000000000004">
      <c r="A563" s="372"/>
      <c r="B563" s="372"/>
      <c r="C563" s="372"/>
      <c r="D563" s="372"/>
      <c r="E563" s="375"/>
      <c r="F563" s="375"/>
      <c r="G563" s="375"/>
      <c r="H563" s="375"/>
      <c r="I563" s="375"/>
      <c r="J563" s="375"/>
      <c r="K563" s="376"/>
      <c r="L563" s="377"/>
      <c r="M563" s="377"/>
      <c r="N563" s="378"/>
    </row>
    <row r="564" spans="1:14" ht="21.75" customHeight="1" x14ac:dyDescent="0.55000000000000004">
      <c r="A564" s="372"/>
      <c r="B564" s="372"/>
      <c r="C564" s="372"/>
      <c r="D564" s="372"/>
      <c r="E564" s="375"/>
      <c r="F564" s="375"/>
      <c r="G564" s="375"/>
      <c r="H564" s="375"/>
      <c r="I564" s="375"/>
      <c r="J564" s="375"/>
      <c r="K564" s="376"/>
      <c r="L564" s="377"/>
      <c r="M564" s="377"/>
      <c r="N564" s="378"/>
    </row>
    <row r="565" spans="1:14" ht="21.75" customHeight="1" x14ac:dyDescent="0.55000000000000004">
      <c r="A565" s="372"/>
      <c r="B565" s="372"/>
      <c r="C565" s="372"/>
      <c r="D565" s="372"/>
      <c r="E565" s="375"/>
      <c r="F565" s="375"/>
      <c r="G565" s="375"/>
      <c r="H565" s="375"/>
      <c r="I565" s="375"/>
      <c r="J565" s="375"/>
      <c r="K565" s="376"/>
      <c r="L565" s="377"/>
      <c r="M565" s="377"/>
      <c r="N565" s="378"/>
    </row>
    <row r="566" spans="1:14" ht="21.75" customHeight="1" x14ac:dyDescent="0.55000000000000004">
      <c r="A566" s="372"/>
      <c r="B566" s="372"/>
      <c r="C566" s="372"/>
      <c r="D566" s="372"/>
      <c r="E566" s="375"/>
      <c r="F566" s="375"/>
      <c r="G566" s="375"/>
      <c r="H566" s="375"/>
      <c r="I566" s="375"/>
      <c r="J566" s="375"/>
      <c r="K566" s="376"/>
      <c r="L566" s="377"/>
      <c r="M566" s="377"/>
      <c r="N566" s="378"/>
    </row>
    <row r="567" spans="1:14" ht="21.75" customHeight="1" x14ac:dyDescent="0.55000000000000004">
      <c r="A567" s="372"/>
      <c r="B567" s="372"/>
      <c r="C567" s="372"/>
      <c r="D567" s="372"/>
      <c r="E567" s="375"/>
      <c r="F567" s="375"/>
      <c r="G567" s="375"/>
      <c r="H567" s="375"/>
      <c r="I567" s="375"/>
      <c r="J567" s="375"/>
      <c r="K567" s="376"/>
      <c r="L567" s="377"/>
      <c r="M567" s="377"/>
      <c r="N567" s="378"/>
    </row>
    <row r="568" spans="1:14" ht="21.75" customHeight="1" x14ac:dyDescent="0.55000000000000004">
      <c r="A568" s="372"/>
      <c r="B568" s="372"/>
      <c r="C568" s="372"/>
      <c r="D568" s="372"/>
      <c r="E568" s="375"/>
      <c r="F568" s="375"/>
      <c r="G568" s="375"/>
      <c r="H568" s="375"/>
      <c r="I568" s="375"/>
      <c r="J568" s="375"/>
      <c r="K568" s="376"/>
      <c r="L568" s="377"/>
      <c r="M568" s="377"/>
      <c r="N568" s="378"/>
    </row>
    <row r="569" spans="1:14" ht="21.75" customHeight="1" x14ac:dyDescent="0.55000000000000004">
      <c r="A569" s="372"/>
      <c r="B569" s="372"/>
      <c r="C569" s="372"/>
      <c r="D569" s="372"/>
      <c r="E569" s="375"/>
      <c r="F569" s="375"/>
      <c r="G569" s="375"/>
      <c r="H569" s="375"/>
      <c r="I569" s="375"/>
      <c r="J569" s="375"/>
      <c r="K569" s="376"/>
      <c r="L569" s="377"/>
      <c r="M569" s="377"/>
      <c r="N569" s="378"/>
    </row>
    <row r="570" spans="1:14" ht="21.75" customHeight="1" x14ac:dyDescent="0.55000000000000004">
      <c r="A570" s="372"/>
      <c r="B570" s="372"/>
      <c r="C570" s="372"/>
      <c r="D570" s="372"/>
      <c r="E570" s="375"/>
      <c r="F570" s="375"/>
      <c r="G570" s="375"/>
      <c r="H570" s="375"/>
      <c r="I570" s="375"/>
      <c r="J570" s="375"/>
      <c r="K570" s="376"/>
      <c r="L570" s="377"/>
      <c r="M570" s="377"/>
      <c r="N570" s="378"/>
    </row>
    <row r="571" spans="1:14" ht="21.75" customHeight="1" x14ac:dyDescent="0.55000000000000004">
      <c r="A571" s="372"/>
      <c r="B571" s="372"/>
      <c r="C571" s="372"/>
      <c r="D571" s="372"/>
      <c r="E571" s="375"/>
      <c r="F571" s="375"/>
      <c r="G571" s="375"/>
      <c r="H571" s="375"/>
      <c r="I571" s="375"/>
      <c r="J571" s="375"/>
      <c r="K571" s="376"/>
      <c r="L571" s="377"/>
      <c r="M571" s="377"/>
      <c r="N571" s="378"/>
    </row>
    <row r="572" spans="1:14" ht="21.75" customHeight="1" x14ac:dyDescent="0.55000000000000004">
      <c r="A572" s="372"/>
      <c r="B572" s="372"/>
      <c r="C572" s="372"/>
      <c r="D572" s="372"/>
      <c r="E572" s="375"/>
      <c r="F572" s="375"/>
      <c r="G572" s="375"/>
      <c r="H572" s="375"/>
      <c r="I572" s="375"/>
      <c r="J572" s="375"/>
      <c r="K572" s="376"/>
      <c r="L572" s="377"/>
      <c r="M572" s="377"/>
      <c r="N572" s="378"/>
    </row>
    <row r="573" spans="1:14" ht="21.75" customHeight="1" x14ac:dyDescent="0.55000000000000004">
      <c r="A573" s="372"/>
      <c r="B573" s="372"/>
      <c r="C573" s="372"/>
      <c r="D573" s="372"/>
      <c r="E573" s="375"/>
      <c r="F573" s="375"/>
      <c r="G573" s="375"/>
      <c r="H573" s="375"/>
      <c r="I573" s="375"/>
      <c r="J573" s="375"/>
      <c r="K573" s="376"/>
      <c r="L573" s="377"/>
      <c r="M573" s="377"/>
      <c r="N573" s="378"/>
    </row>
    <row r="574" spans="1:14" ht="21.75" customHeight="1" x14ac:dyDescent="0.55000000000000004">
      <c r="A574" s="372"/>
      <c r="B574" s="372"/>
      <c r="C574" s="372"/>
      <c r="D574" s="372"/>
      <c r="E574" s="375"/>
      <c r="F574" s="375"/>
      <c r="G574" s="375"/>
      <c r="H574" s="375"/>
      <c r="I574" s="375"/>
      <c r="J574" s="375"/>
      <c r="K574" s="376"/>
      <c r="L574" s="377"/>
      <c r="M574" s="377"/>
      <c r="N574" s="378"/>
    </row>
    <row r="575" spans="1:14" ht="21.75" customHeight="1" x14ac:dyDescent="0.55000000000000004">
      <c r="A575" s="372"/>
      <c r="B575" s="372"/>
      <c r="C575" s="372"/>
      <c r="D575" s="372"/>
      <c r="E575" s="375"/>
      <c r="F575" s="375"/>
      <c r="G575" s="375"/>
      <c r="H575" s="375"/>
      <c r="I575" s="375"/>
      <c r="J575" s="375"/>
      <c r="K575" s="376"/>
      <c r="L575" s="377"/>
      <c r="M575" s="377"/>
      <c r="N575" s="378"/>
    </row>
    <row r="576" spans="1:14" ht="21.75" customHeight="1" x14ac:dyDescent="0.55000000000000004">
      <c r="A576" s="372"/>
      <c r="B576" s="372"/>
      <c r="C576" s="372"/>
      <c r="D576" s="372"/>
      <c r="E576" s="375"/>
      <c r="F576" s="375"/>
      <c r="G576" s="375"/>
      <c r="H576" s="375"/>
      <c r="I576" s="375"/>
      <c r="J576" s="375"/>
      <c r="K576" s="376"/>
      <c r="L576" s="377"/>
      <c r="M576" s="377"/>
      <c r="N576" s="378"/>
    </row>
    <row r="577" spans="1:14" ht="21.75" customHeight="1" x14ac:dyDescent="0.55000000000000004">
      <c r="A577" s="372"/>
      <c r="B577" s="372"/>
      <c r="C577" s="372"/>
      <c r="D577" s="372"/>
      <c r="E577" s="375"/>
      <c r="F577" s="375"/>
      <c r="G577" s="375"/>
      <c r="H577" s="375"/>
      <c r="I577" s="375"/>
      <c r="J577" s="375"/>
      <c r="K577" s="376"/>
      <c r="L577" s="377"/>
      <c r="M577" s="377"/>
      <c r="N577" s="378"/>
    </row>
    <row r="578" spans="1:14" ht="21.75" customHeight="1" x14ac:dyDescent="0.55000000000000004">
      <c r="A578" s="372"/>
      <c r="B578" s="372"/>
      <c r="C578" s="372"/>
      <c r="D578" s="372"/>
      <c r="E578" s="375"/>
      <c r="F578" s="375"/>
      <c r="G578" s="375"/>
      <c r="H578" s="375"/>
      <c r="I578" s="375"/>
      <c r="J578" s="375"/>
      <c r="K578" s="376"/>
      <c r="L578" s="377"/>
      <c r="M578" s="377"/>
      <c r="N578" s="378"/>
    </row>
    <row r="579" spans="1:14" ht="21.75" customHeight="1" x14ac:dyDescent="0.55000000000000004">
      <c r="A579" s="372"/>
      <c r="B579" s="372"/>
      <c r="C579" s="372"/>
      <c r="D579" s="372"/>
      <c r="E579" s="375"/>
      <c r="F579" s="375"/>
      <c r="G579" s="375"/>
      <c r="H579" s="375"/>
      <c r="I579" s="375"/>
      <c r="J579" s="375"/>
      <c r="K579" s="376"/>
      <c r="L579" s="377"/>
      <c r="M579" s="377"/>
      <c r="N579" s="378"/>
    </row>
    <row r="580" spans="1:14" ht="21.75" customHeight="1" x14ac:dyDescent="0.55000000000000004">
      <c r="A580" s="372"/>
      <c r="B580" s="372"/>
      <c r="C580" s="372"/>
      <c r="D580" s="372"/>
      <c r="E580" s="375"/>
      <c r="F580" s="375"/>
      <c r="G580" s="375"/>
      <c r="H580" s="375"/>
      <c r="I580" s="375"/>
      <c r="J580" s="375"/>
      <c r="K580" s="376"/>
      <c r="L580" s="377"/>
      <c r="M580" s="377"/>
      <c r="N580" s="378"/>
    </row>
    <row r="581" spans="1:14" ht="21.75" customHeight="1" x14ac:dyDescent="0.55000000000000004">
      <c r="A581" s="372"/>
      <c r="B581" s="372"/>
      <c r="C581" s="372"/>
      <c r="D581" s="372"/>
      <c r="E581" s="375"/>
      <c r="F581" s="375"/>
      <c r="G581" s="375"/>
      <c r="H581" s="375"/>
      <c r="I581" s="375"/>
      <c r="J581" s="375"/>
      <c r="K581" s="376"/>
      <c r="L581" s="377"/>
      <c r="M581" s="377"/>
      <c r="N581" s="378"/>
    </row>
    <row r="582" spans="1:14" ht="21.75" customHeight="1" x14ac:dyDescent="0.55000000000000004">
      <c r="A582" s="372"/>
      <c r="B582" s="372"/>
      <c r="C582" s="372"/>
      <c r="D582" s="372"/>
      <c r="E582" s="375"/>
      <c r="F582" s="375"/>
      <c r="G582" s="375"/>
      <c r="H582" s="375"/>
      <c r="I582" s="375"/>
      <c r="J582" s="375"/>
      <c r="K582" s="376"/>
      <c r="L582" s="377"/>
      <c r="M582" s="377"/>
      <c r="N582" s="378"/>
    </row>
    <row r="583" spans="1:14" ht="21.75" customHeight="1" x14ac:dyDescent="0.55000000000000004">
      <c r="A583" s="372"/>
      <c r="B583" s="372"/>
      <c r="C583" s="372"/>
      <c r="D583" s="372"/>
      <c r="E583" s="375"/>
      <c r="F583" s="375"/>
      <c r="G583" s="375"/>
      <c r="H583" s="375"/>
      <c r="I583" s="375"/>
      <c r="J583" s="375"/>
      <c r="K583" s="376"/>
      <c r="L583" s="377"/>
      <c r="M583" s="377"/>
      <c r="N583" s="378"/>
    </row>
    <row r="584" spans="1:14" ht="21.75" customHeight="1" x14ac:dyDescent="0.55000000000000004">
      <c r="A584" s="372"/>
      <c r="B584" s="372"/>
      <c r="C584" s="372"/>
      <c r="D584" s="372"/>
      <c r="E584" s="375"/>
      <c r="F584" s="375"/>
      <c r="G584" s="375"/>
      <c r="H584" s="375"/>
      <c r="I584" s="375"/>
      <c r="J584" s="375"/>
      <c r="K584" s="376"/>
      <c r="L584" s="377"/>
      <c r="M584" s="377"/>
      <c r="N584" s="378"/>
    </row>
    <row r="585" spans="1:14" ht="21.75" customHeight="1" x14ac:dyDescent="0.55000000000000004">
      <c r="A585" s="372"/>
      <c r="B585" s="372"/>
      <c r="C585" s="372"/>
      <c r="D585" s="372"/>
      <c r="E585" s="375"/>
      <c r="F585" s="375"/>
      <c r="G585" s="375"/>
      <c r="H585" s="375"/>
      <c r="I585" s="375"/>
      <c r="J585" s="375"/>
      <c r="K585" s="376"/>
      <c r="L585" s="377"/>
      <c r="M585" s="377"/>
      <c r="N585" s="378"/>
    </row>
    <row r="586" spans="1:14" ht="21.75" customHeight="1" x14ac:dyDescent="0.55000000000000004">
      <c r="A586" s="372"/>
      <c r="B586" s="372"/>
      <c r="C586" s="372"/>
      <c r="D586" s="372"/>
      <c r="E586" s="375"/>
      <c r="F586" s="375"/>
      <c r="G586" s="375"/>
      <c r="H586" s="375"/>
      <c r="I586" s="375"/>
      <c r="J586" s="375"/>
      <c r="K586" s="376"/>
      <c r="L586" s="377"/>
      <c r="M586" s="377"/>
      <c r="N586" s="378"/>
    </row>
    <row r="587" spans="1:14" ht="21.75" customHeight="1" x14ac:dyDescent="0.55000000000000004">
      <c r="A587" s="372"/>
      <c r="B587" s="372"/>
      <c r="C587" s="372"/>
      <c r="D587" s="372"/>
      <c r="E587" s="375"/>
      <c r="F587" s="375"/>
      <c r="G587" s="375"/>
      <c r="H587" s="375"/>
      <c r="I587" s="375"/>
      <c r="J587" s="375"/>
      <c r="K587" s="376"/>
      <c r="L587" s="377"/>
      <c r="M587" s="377"/>
      <c r="N587" s="378"/>
    </row>
    <row r="588" spans="1:14" ht="21.75" customHeight="1" x14ac:dyDescent="0.55000000000000004">
      <c r="A588" s="372"/>
      <c r="B588" s="372"/>
      <c r="C588" s="372"/>
      <c r="D588" s="372"/>
      <c r="E588" s="375"/>
      <c r="F588" s="375"/>
      <c r="G588" s="375"/>
      <c r="H588" s="375"/>
      <c r="I588" s="375"/>
      <c r="J588" s="375"/>
      <c r="K588" s="376"/>
      <c r="L588" s="377"/>
      <c r="M588" s="377"/>
      <c r="N588" s="378"/>
    </row>
    <row r="589" spans="1:14" ht="21.75" customHeight="1" x14ac:dyDescent="0.55000000000000004">
      <c r="A589" s="372"/>
      <c r="B589" s="372"/>
      <c r="C589" s="372"/>
      <c r="D589" s="372"/>
      <c r="E589" s="375"/>
      <c r="F589" s="375"/>
      <c r="G589" s="375"/>
      <c r="H589" s="375"/>
      <c r="I589" s="375"/>
      <c r="J589" s="375"/>
      <c r="K589" s="376"/>
      <c r="L589" s="377"/>
      <c r="M589" s="377"/>
      <c r="N589" s="378"/>
    </row>
    <row r="590" spans="1:14" ht="21.75" customHeight="1" x14ac:dyDescent="0.55000000000000004">
      <c r="A590" s="372"/>
      <c r="B590" s="372"/>
      <c r="C590" s="372"/>
      <c r="D590" s="372"/>
      <c r="E590" s="375"/>
      <c r="F590" s="375"/>
      <c r="G590" s="375"/>
      <c r="H590" s="375"/>
      <c r="I590" s="375"/>
      <c r="J590" s="375"/>
      <c r="K590" s="376"/>
      <c r="L590" s="377"/>
      <c r="M590" s="377"/>
      <c r="N590" s="378"/>
    </row>
    <row r="591" spans="1:14" ht="21.75" customHeight="1" x14ac:dyDescent="0.55000000000000004">
      <c r="A591" s="372"/>
      <c r="B591" s="372"/>
      <c r="C591" s="372"/>
      <c r="D591" s="372"/>
      <c r="E591" s="375"/>
      <c r="F591" s="375"/>
      <c r="G591" s="375"/>
      <c r="H591" s="375"/>
      <c r="I591" s="375"/>
      <c r="J591" s="375"/>
      <c r="K591" s="376"/>
      <c r="L591" s="377"/>
      <c r="M591" s="377"/>
      <c r="N591" s="378"/>
    </row>
    <row r="592" spans="1:14" ht="21.75" customHeight="1" x14ac:dyDescent="0.55000000000000004">
      <c r="A592" s="372"/>
      <c r="B592" s="372"/>
      <c r="C592" s="372"/>
      <c r="D592" s="372"/>
      <c r="E592" s="375"/>
      <c r="F592" s="375"/>
      <c r="G592" s="375"/>
      <c r="H592" s="375"/>
      <c r="I592" s="375"/>
      <c r="J592" s="375"/>
      <c r="K592" s="376"/>
      <c r="L592" s="377"/>
      <c r="M592" s="377"/>
      <c r="N592" s="378"/>
    </row>
    <row r="593" spans="1:14" ht="21.75" customHeight="1" x14ac:dyDescent="0.55000000000000004">
      <c r="A593" s="372"/>
      <c r="B593" s="372"/>
      <c r="C593" s="372"/>
      <c r="D593" s="372"/>
      <c r="E593" s="375"/>
      <c r="F593" s="375"/>
      <c r="G593" s="375"/>
      <c r="H593" s="375"/>
      <c r="I593" s="375"/>
      <c r="J593" s="375"/>
      <c r="K593" s="376"/>
      <c r="L593" s="377"/>
      <c r="M593" s="377"/>
      <c r="N593" s="378"/>
    </row>
    <row r="594" spans="1:14" ht="21.75" customHeight="1" x14ac:dyDescent="0.55000000000000004">
      <c r="A594" s="372"/>
      <c r="B594" s="372"/>
      <c r="C594" s="372"/>
      <c r="D594" s="372"/>
      <c r="E594" s="375"/>
      <c r="F594" s="375"/>
      <c r="G594" s="375"/>
      <c r="H594" s="375"/>
      <c r="I594" s="375"/>
      <c r="J594" s="375"/>
      <c r="K594" s="376"/>
      <c r="L594" s="377"/>
      <c r="M594" s="377"/>
      <c r="N594" s="378"/>
    </row>
    <row r="595" spans="1:14" ht="21.75" customHeight="1" x14ac:dyDescent="0.55000000000000004">
      <c r="A595" s="372"/>
      <c r="B595" s="372"/>
      <c r="C595" s="372"/>
      <c r="D595" s="372"/>
      <c r="E595" s="375"/>
      <c r="F595" s="375"/>
      <c r="G595" s="375"/>
      <c r="H595" s="375"/>
      <c r="I595" s="375"/>
      <c r="J595" s="375"/>
      <c r="K595" s="376"/>
      <c r="L595" s="377"/>
      <c r="M595" s="377"/>
      <c r="N595" s="378"/>
    </row>
    <row r="596" spans="1:14" ht="21.75" customHeight="1" x14ac:dyDescent="0.55000000000000004">
      <c r="A596" s="372"/>
      <c r="B596" s="372"/>
      <c r="C596" s="372"/>
      <c r="D596" s="372"/>
      <c r="E596" s="375"/>
      <c r="F596" s="375"/>
      <c r="G596" s="375"/>
      <c r="H596" s="375"/>
      <c r="I596" s="375"/>
      <c r="J596" s="375"/>
      <c r="K596" s="376"/>
      <c r="L596" s="377"/>
      <c r="M596" s="377"/>
      <c r="N596" s="378"/>
    </row>
    <row r="597" spans="1:14" ht="21.75" customHeight="1" x14ac:dyDescent="0.55000000000000004">
      <c r="A597" s="372"/>
      <c r="B597" s="372"/>
      <c r="C597" s="372"/>
      <c r="D597" s="372"/>
      <c r="E597" s="375"/>
      <c r="F597" s="375"/>
      <c r="G597" s="375"/>
      <c r="H597" s="375"/>
      <c r="I597" s="375"/>
      <c r="J597" s="375"/>
      <c r="K597" s="376"/>
      <c r="L597" s="377"/>
      <c r="M597" s="377"/>
      <c r="N597" s="378"/>
    </row>
    <row r="598" spans="1:14" ht="21.75" customHeight="1" x14ac:dyDescent="0.55000000000000004">
      <c r="A598" s="372"/>
      <c r="B598" s="372"/>
      <c r="C598" s="372"/>
      <c r="D598" s="372"/>
      <c r="E598" s="375"/>
      <c r="F598" s="375"/>
      <c r="G598" s="375"/>
      <c r="H598" s="375"/>
      <c r="I598" s="375"/>
      <c r="J598" s="375"/>
      <c r="K598" s="376"/>
      <c r="L598" s="377"/>
      <c r="M598" s="377"/>
      <c r="N598" s="378"/>
    </row>
    <row r="599" spans="1:14" ht="21.75" customHeight="1" x14ac:dyDescent="0.55000000000000004">
      <c r="A599" s="372"/>
      <c r="B599" s="372"/>
      <c r="C599" s="372"/>
      <c r="D599" s="372"/>
      <c r="E599" s="375"/>
      <c r="F599" s="375"/>
      <c r="G599" s="375"/>
      <c r="H599" s="375"/>
      <c r="I599" s="375"/>
      <c r="J599" s="375"/>
      <c r="K599" s="376"/>
      <c r="L599" s="377"/>
      <c r="M599" s="377"/>
      <c r="N599" s="378"/>
    </row>
    <row r="600" spans="1:14" ht="21.75" customHeight="1" x14ac:dyDescent="0.55000000000000004">
      <c r="A600" s="372"/>
      <c r="B600" s="372"/>
      <c r="C600" s="372"/>
      <c r="D600" s="372"/>
      <c r="E600" s="375"/>
      <c r="F600" s="375"/>
      <c r="G600" s="375"/>
      <c r="H600" s="375"/>
      <c r="I600" s="375"/>
      <c r="J600" s="375"/>
      <c r="K600" s="376"/>
      <c r="L600" s="377"/>
      <c r="M600" s="377"/>
      <c r="N600" s="378"/>
    </row>
    <row r="601" spans="1:14" ht="21.75" customHeight="1" x14ac:dyDescent="0.55000000000000004">
      <c r="A601" s="372"/>
      <c r="B601" s="372"/>
      <c r="C601" s="372"/>
      <c r="D601" s="372"/>
      <c r="E601" s="375"/>
      <c r="F601" s="375"/>
      <c r="G601" s="375"/>
      <c r="H601" s="375"/>
      <c r="I601" s="375"/>
      <c r="J601" s="375"/>
      <c r="K601" s="376"/>
      <c r="L601" s="377"/>
      <c r="M601" s="377"/>
      <c r="N601" s="378"/>
    </row>
    <row r="602" spans="1:14" ht="21.75" customHeight="1" x14ac:dyDescent="0.55000000000000004">
      <c r="A602" s="372"/>
      <c r="B602" s="372"/>
      <c r="C602" s="372"/>
      <c r="D602" s="372"/>
      <c r="E602" s="375"/>
      <c r="F602" s="375"/>
      <c r="G602" s="375"/>
      <c r="H602" s="375"/>
      <c r="I602" s="375"/>
      <c r="J602" s="375"/>
      <c r="K602" s="376"/>
      <c r="L602" s="377"/>
      <c r="M602" s="377"/>
      <c r="N602" s="378"/>
    </row>
    <row r="603" spans="1:14" ht="21.75" customHeight="1" x14ac:dyDescent="0.55000000000000004">
      <c r="A603" s="372"/>
      <c r="B603" s="372"/>
      <c r="C603" s="372"/>
      <c r="D603" s="372"/>
      <c r="E603" s="375"/>
      <c r="F603" s="375"/>
      <c r="G603" s="375"/>
      <c r="H603" s="375"/>
      <c r="I603" s="375"/>
      <c r="J603" s="375"/>
      <c r="K603" s="376"/>
      <c r="L603" s="377"/>
      <c r="M603" s="377"/>
      <c r="N603" s="378"/>
    </row>
    <row r="604" spans="1:14" ht="21.75" customHeight="1" x14ac:dyDescent="0.55000000000000004">
      <c r="A604" s="372"/>
      <c r="B604" s="372"/>
      <c r="C604" s="372"/>
      <c r="D604" s="372"/>
      <c r="E604" s="375"/>
      <c r="F604" s="375"/>
      <c r="G604" s="375"/>
      <c r="H604" s="375"/>
      <c r="I604" s="375"/>
      <c r="J604" s="375"/>
      <c r="K604" s="376"/>
      <c r="L604" s="377"/>
      <c r="M604" s="377"/>
      <c r="N604" s="378"/>
    </row>
    <row r="605" spans="1:14" ht="21.75" customHeight="1" x14ac:dyDescent="0.55000000000000004">
      <c r="A605" s="372"/>
      <c r="B605" s="372"/>
      <c r="C605" s="372"/>
      <c r="D605" s="372"/>
      <c r="E605" s="375"/>
      <c r="F605" s="375"/>
      <c r="G605" s="375"/>
      <c r="H605" s="375"/>
      <c r="I605" s="375"/>
      <c r="J605" s="375"/>
      <c r="K605" s="376"/>
      <c r="L605" s="377"/>
      <c r="M605" s="377"/>
      <c r="N605" s="378"/>
    </row>
    <row r="606" spans="1:14" ht="21.75" customHeight="1" x14ac:dyDescent="0.55000000000000004">
      <c r="A606" s="372"/>
      <c r="B606" s="372"/>
      <c r="C606" s="372"/>
      <c r="D606" s="372"/>
      <c r="E606" s="375"/>
      <c r="F606" s="375"/>
      <c r="G606" s="375"/>
      <c r="H606" s="375"/>
      <c r="I606" s="375"/>
      <c r="J606" s="375"/>
      <c r="K606" s="376"/>
      <c r="L606" s="377"/>
      <c r="M606" s="377"/>
      <c r="N606" s="378"/>
    </row>
    <row r="607" spans="1:14" ht="21.75" customHeight="1" x14ac:dyDescent="0.55000000000000004">
      <c r="A607" s="372"/>
      <c r="B607" s="372"/>
      <c r="C607" s="372"/>
      <c r="D607" s="372"/>
      <c r="E607" s="375"/>
      <c r="F607" s="375"/>
      <c r="G607" s="375"/>
      <c r="H607" s="375"/>
      <c r="I607" s="375"/>
      <c r="J607" s="375"/>
      <c r="K607" s="376"/>
      <c r="L607" s="377"/>
      <c r="M607" s="377"/>
      <c r="N607" s="378"/>
    </row>
    <row r="608" spans="1:14" ht="21.75" customHeight="1" x14ac:dyDescent="0.55000000000000004">
      <c r="A608" s="372"/>
      <c r="B608" s="372"/>
      <c r="C608" s="372"/>
      <c r="D608" s="372"/>
      <c r="E608" s="375"/>
      <c r="F608" s="375"/>
      <c r="G608" s="375"/>
      <c r="H608" s="375"/>
      <c r="I608" s="375"/>
      <c r="J608" s="375"/>
      <c r="K608" s="376"/>
      <c r="L608" s="377"/>
      <c r="M608" s="377"/>
      <c r="N608" s="378"/>
    </row>
    <row r="609" spans="1:14" ht="21.75" customHeight="1" x14ac:dyDescent="0.55000000000000004">
      <c r="A609" s="372"/>
      <c r="B609" s="372"/>
      <c r="C609" s="372"/>
      <c r="D609" s="372"/>
      <c r="E609" s="375"/>
      <c r="F609" s="375"/>
      <c r="G609" s="375"/>
      <c r="H609" s="375"/>
      <c r="I609" s="375"/>
      <c r="J609" s="375"/>
      <c r="K609" s="376"/>
      <c r="L609" s="377"/>
      <c r="M609" s="377"/>
      <c r="N609" s="378"/>
    </row>
    <row r="610" spans="1:14" ht="21.75" customHeight="1" x14ac:dyDescent="0.55000000000000004">
      <c r="A610" s="372"/>
      <c r="B610" s="372"/>
      <c r="C610" s="372"/>
      <c r="D610" s="372"/>
      <c r="E610" s="375"/>
      <c r="F610" s="375"/>
      <c r="G610" s="375"/>
      <c r="H610" s="375"/>
      <c r="I610" s="375"/>
      <c r="J610" s="375"/>
      <c r="K610" s="376"/>
      <c r="L610" s="377"/>
      <c r="M610" s="377"/>
      <c r="N610" s="378"/>
    </row>
    <row r="611" spans="1:14" ht="21.75" customHeight="1" x14ac:dyDescent="0.55000000000000004">
      <c r="A611" s="372"/>
      <c r="B611" s="372"/>
      <c r="C611" s="372"/>
      <c r="D611" s="372"/>
      <c r="E611" s="375"/>
      <c r="F611" s="375"/>
      <c r="G611" s="375"/>
      <c r="H611" s="375"/>
      <c r="I611" s="375"/>
      <c r="J611" s="375"/>
      <c r="K611" s="376"/>
      <c r="L611" s="377"/>
      <c r="M611" s="377"/>
      <c r="N611" s="378"/>
    </row>
    <row r="612" spans="1:14" ht="21.75" customHeight="1" x14ac:dyDescent="0.55000000000000004">
      <c r="A612" s="372"/>
      <c r="B612" s="372"/>
      <c r="C612" s="372"/>
      <c r="D612" s="372"/>
      <c r="E612" s="375"/>
      <c r="F612" s="375"/>
      <c r="G612" s="375"/>
      <c r="H612" s="375"/>
      <c r="I612" s="375"/>
      <c r="J612" s="375"/>
      <c r="K612" s="376"/>
      <c r="L612" s="377"/>
      <c r="M612" s="377"/>
      <c r="N612" s="378"/>
    </row>
    <row r="613" spans="1:14" ht="21.75" customHeight="1" x14ac:dyDescent="0.55000000000000004">
      <c r="A613" s="372"/>
      <c r="B613" s="372"/>
      <c r="C613" s="372"/>
      <c r="D613" s="372"/>
      <c r="E613" s="375"/>
      <c r="F613" s="375"/>
      <c r="G613" s="375"/>
      <c r="H613" s="375"/>
      <c r="I613" s="375"/>
      <c r="J613" s="375"/>
      <c r="K613" s="376"/>
      <c r="L613" s="377"/>
      <c r="M613" s="377"/>
      <c r="N613" s="378"/>
    </row>
    <row r="614" spans="1:14" ht="21.75" customHeight="1" x14ac:dyDescent="0.55000000000000004">
      <c r="A614" s="372"/>
      <c r="B614" s="372"/>
      <c r="C614" s="372"/>
      <c r="D614" s="372"/>
      <c r="E614" s="375"/>
      <c r="F614" s="375"/>
      <c r="G614" s="375"/>
      <c r="H614" s="375"/>
      <c r="I614" s="375"/>
      <c r="J614" s="375"/>
      <c r="K614" s="376"/>
      <c r="L614" s="377"/>
      <c r="M614" s="377"/>
      <c r="N614" s="378"/>
    </row>
    <row r="615" spans="1:14" ht="21.75" customHeight="1" x14ac:dyDescent="0.55000000000000004">
      <c r="A615" s="372"/>
      <c r="B615" s="372"/>
      <c r="C615" s="372"/>
      <c r="D615" s="372"/>
      <c r="E615" s="375"/>
      <c r="F615" s="375"/>
      <c r="G615" s="375"/>
      <c r="H615" s="375"/>
      <c r="I615" s="375"/>
      <c r="J615" s="375"/>
      <c r="K615" s="376"/>
      <c r="L615" s="377"/>
      <c r="M615" s="377"/>
      <c r="N615" s="378"/>
    </row>
    <row r="616" spans="1:14" ht="21.75" customHeight="1" x14ac:dyDescent="0.55000000000000004">
      <c r="A616" s="372"/>
      <c r="B616" s="372"/>
      <c r="C616" s="372"/>
      <c r="D616" s="372"/>
      <c r="E616" s="375"/>
      <c r="F616" s="375"/>
      <c r="G616" s="375"/>
      <c r="H616" s="375"/>
      <c r="I616" s="375"/>
      <c r="J616" s="375"/>
      <c r="K616" s="376"/>
      <c r="L616" s="377"/>
      <c r="M616" s="377"/>
      <c r="N616" s="378"/>
    </row>
    <row r="617" spans="1:14" ht="21.75" customHeight="1" x14ac:dyDescent="0.55000000000000004">
      <c r="A617" s="372"/>
      <c r="B617" s="372"/>
      <c r="C617" s="372"/>
      <c r="D617" s="372"/>
      <c r="E617" s="375"/>
      <c r="F617" s="375"/>
      <c r="G617" s="375"/>
      <c r="H617" s="375"/>
      <c r="I617" s="375"/>
      <c r="J617" s="375"/>
      <c r="K617" s="376"/>
      <c r="L617" s="377"/>
      <c r="M617" s="377"/>
      <c r="N617" s="378"/>
    </row>
    <row r="618" spans="1:14" ht="21.75" customHeight="1" x14ac:dyDescent="0.55000000000000004">
      <c r="A618" s="372"/>
      <c r="B618" s="372"/>
      <c r="C618" s="372"/>
      <c r="D618" s="372"/>
      <c r="E618" s="375"/>
      <c r="F618" s="375"/>
      <c r="G618" s="375"/>
      <c r="H618" s="375"/>
      <c r="I618" s="375"/>
      <c r="J618" s="375"/>
      <c r="K618" s="376"/>
      <c r="L618" s="377"/>
      <c r="M618" s="377"/>
      <c r="N618" s="378"/>
    </row>
    <row r="619" spans="1:14" ht="21.75" customHeight="1" x14ac:dyDescent="0.55000000000000004">
      <c r="A619" s="372"/>
      <c r="B619" s="372"/>
      <c r="C619" s="372"/>
      <c r="D619" s="372"/>
      <c r="E619" s="375"/>
      <c r="F619" s="375"/>
      <c r="G619" s="375"/>
      <c r="H619" s="375"/>
      <c r="I619" s="375"/>
      <c r="J619" s="375"/>
      <c r="K619" s="376"/>
      <c r="L619" s="377"/>
      <c r="M619" s="377"/>
      <c r="N619" s="378"/>
    </row>
    <row r="620" spans="1:14" ht="21.75" customHeight="1" x14ac:dyDescent="0.55000000000000004">
      <c r="A620" s="372"/>
      <c r="B620" s="372"/>
      <c r="C620" s="372"/>
      <c r="D620" s="372"/>
      <c r="E620" s="375"/>
      <c r="F620" s="375"/>
      <c r="G620" s="375"/>
      <c r="H620" s="375"/>
      <c r="I620" s="375"/>
      <c r="J620" s="375"/>
      <c r="K620" s="376"/>
      <c r="L620" s="377"/>
      <c r="M620" s="377"/>
      <c r="N620" s="378"/>
    </row>
    <row r="621" spans="1:14" ht="21.75" customHeight="1" x14ac:dyDescent="0.55000000000000004">
      <c r="A621" s="372"/>
      <c r="B621" s="372"/>
      <c r="C621" s="372"/>
      <c r="D621" s="372"/>
      <c r="E621" s="375"/>
      <c r="F621" s="375"/>
      <c r="G621" s="375"/>
      <c r="H621" s="375"/>
      <c r="I621" s="375"/>
      <c r="J621" s="375"/>
      <c r="K621" s="376"/>
      <c r="L621" s="377"/>
      <c r="M621" s="377"/>
      <c r="N621" s="378"/>
    </row>
    <row r="622" spans="1:14" ht="21.75" customHeight="1" x14ac:dyDescent="0.55000000000000004">
      <c r="A622" s="372"/>
      <c r="B622" s="372"/>
      <c r="C622" s="372"/>
      <c r="D622" s="372"/>
      <c r="E622" s="375"/>
      <c r="F622" s="375"/>
      <c r="G622" s="375"/>
      <c r="H622" s="375"/>
      <c r="I622" s="375"/>
      <c r="J622" s="375"/>
      <c r="K622" s="376"/>
      <c r="L622" s="377"/>
      <c r="M622" s="377"/>
      <c r="N622" s="378"/>
    </row>
    <row r="623" spans="1:14" ht="21.75" customHeight="1" x14ac:dyDescent="0.55000000000000004">
      <c r="A623" s="372"/>
      <c r="B623" s="372"/>
      <c r="C623" s="372"/>
      <c r="D623" s="372"/>
      <c r="E623" s="375"/>
      <c r="F623" s="375"/>
      <c r="G623" s="375"/>
      <c r="H623" s="375"/>
      <c r="I623" s="375"/>
      <c r="J623" s="375"/>
      <c r="K623" s="376"/>
      <c r="L623" s="377"/>
      <c r="M623" s="377"/>
      <c r="N623" s="378"/>
    </row>
    <row r="624" spans="1:14" ht="21.75" customHeight="1" x14ac:dyDescent="0.55000000000000004">
      <c r="A624" s="372"/>
      <c r="B624" s="372"/>
      <c r="C624" s="372"/>
      <c r="D624" s="372"/>
      <c r="E624" s="375"/>
      <c r="F624" s="375"/>
      <c r="G624" s="375"/>
      <c r="H624" s="375"/>
      <c r="I624" s="375"/>
      <c r="J624" s="375"/>
      <c r="K624" s="376"/>
      <c r="L624" s="377"/>
      <c r="M624" s="377"/>
      <c r="N624" s="378"/>
    </row>
    <row r="625" spans="1:14" ht="21.75" customHeight="1" x14ac:dyDescent="0.55000000000000004">
      <c r="A625" s="372"/>
      <c r="B625" s="372"/>
      <c r="C625" s="372"/>
      <c r="D625" s="372"/>
      <c r="E625" s="375"/>
      <c r="F625" s="375"/>
      <c r="G625" s="375"/>
      <c r="H625" s="375"/>
      <c r="I625" s="375"/>
      <c r="J625" s="375"/>
      <c r="K625" s="376"/>
      <c r="L625" s="377"/>
      <c r="M625" s="377"/>
      <c r="N625" s="378"/>
    </row>
    <row r="626" spans="1:14" ht="21.75" customHeight="1" x14ac:dyDescent="0.55000000000000004">
      <c r="A626" s="372"/>
      <c r="B626" s="372"/>
      <c r="C626" s="372"/>
      <c r="D626" s="372"/>
      <c r="E626" s="375"/>
      <c r="F626" s="375"/>
      <c r="G626" s="375"/>
      <c r="H626" s="375"/>
      <c r="I626" s="375"/>
      <c r="J626" s="375"/>
      <c r="K626" s="376"/>
      <c r="L626" s="377"/>
      <c r="M626" s="377"/>
      <c r="N626" s="378"/>
    </row>
    <row r="627" spans="1:14" ht="21.75" customHeight="1" x14ac:dyDescent="0.55000000000000004">
      <c r="A627" s="372"/>
      <c r="B627" s="372"/>
      <c r="C627" s="372"/>
      <c r="D627" s="372"/>
      <c r="E627" s="375"/>
      <c r="F627" s="375"/>
      <c r="G627" s="375"/>
      <c r="H627" s="375"/>
      <c r="I627" s="375"/>
      <c r="J627" s="375"/>
      <c r="K627" s="376"/>
      <c r="L627" s="377"/>
      <c r="M627" s="377"/>
      <c r="N627" s="378"/>
    </row>
    <row r="628" spans="1:14" ht="21.75" customHeight="1" x14ac:dyDescent="0.55000000000000004">
      <c r="A628" s="372"/>
      <c r="B628" s="372"/>
      <c r="C628" s="372"/>
      <c r="D628" s="372"/>
      <c r="E628" s="375"/>
      <c r="F628" s="375"/>
      <c r="G628" s="375"/>
      <c r="H628" s="375"/>
      <c r="I628" s="375"/>
      <c r="J628" s="375"/>
      <c r="K628" s="376"/>
      <c r="L628" s="377"/>
      <c r="M628" s="377"/>
      <c r="N628" s="378"/>
    </row>
    <row r="629" spans="1:14" ht="21.75" customHeight="1" x14ac:dyDescent="0.55000000000000004">
      <c r="A629" s="372"/>
      <c r="B629" s="372"/>
      <c r="C629" s="372"/>
      <c r="D629" s="372"/>
      <c r="E629" s="375"/>
      <c r="F629" s="375"/>
      <c r="G629" s="375"/>
      <c r="H629" s="375"/>
      <c r="I629" s="375"/>
      <c r="J629" s="375"/>
      <c r="K629" s="376"/>
      <c r="L629" s="377"/>
      <c r="M629" s="377"/>
      <c r="N629" s="378"/>
    </row>
    <row r="630" spans="1:14" ht="21.75" customHeight="1" x14ac:dyDescent="0.55000000000000004">
      <c r="A630" s="372"/>
      <c r="B630" s="372"/>
      <c r="C630" s="372"/>
      <c r="D630" s="372"/>
      <c r="E630" s="375"/>
      <c r="F630" s="375"/>
      <c r="G630" s="375"/>
      <c r="H630" s="375"/>
      <c r="I630" s="375"/>
      <c r="J630" s="375"/>
      <c r="K630" s="376"/>
      <c r="L630" s="377"/>
      <c r="M630" s="377"/>
      <c r="N630" s="378"/>
    </row>
    <row r="631" spans="1:14" ht="21.75" customHeight="1" x14ac:dyDescent="0.55000000000000004">
      <c r="A631" s="372"/>
      <c r="B631" s="372"/>
      <c r="C631" s="372"/>
      <c r="D631" s="372"/>
      <c r="E631" s="375"/>
      <c r="F631" s="375"/>
      <c r="G631" s="375"/>
      <c r="H631" s="375"/>
      <c r="I631" s="375"/>
      <c r="J631" s="375"/>
      <c r="K631" s="376"/>
      <c r="L631" s="377"/>
      <c r="M631" s="377"/>
      <c r="N631" s="378"/>
    </row>
    <row r="632" spans="1:14" ht="21.75" customHeight="1" x14ac:dyDescent="0.55000000000000004">
      <c r="A632" s="372"/>
      <c r="B632" s="372"/>
      <c r="C632" s="372"/>
      <c r="D632" s="372"/>
      <c r="E632" s="375"/>
      <c r="F632" s="375"/>
      <c r="G632" s="375"/>
      <c r="H632" s="375"/>
      <c r="I632" s="375"/>
      <c r="J632" s="375"/>
      <c r="K632" s="376"/>
      <c r="L632" s="377"/>
      <c r="M632" s="377"/>
      <c r="N632" s="378"/>
    </row>
    <row r="633" spans="1:14" ht="21.75" customHeight="1" x14ac:dyDescent="0.55000000000000004">
      <c r="A633" s="372"/>
      <c r="B633" s="372"/>
      <c r="C633" s="372"/>
      <c r="D633" s="372"/>
      <c r="E633" s="375"/>
      <c r="F633" s="375"/>
      <c r="G633" s="375"/>
      <c r="H633" s="375"/>
      <c r="I633" s="375"/>
      <c r="J633" s="375"/>
      <c r="K633" s="376"/>
      <c r="L633" s="377"/>
      <c r="M633" s="377"/>
      <c r="N633" s="378"/>
    </row>
    <row r="634" spans="1:14" ht="21.75" customHeight="1" x14ac:dyDescent="0.55000000000000004">
      <c r="A634" s="372"/>
      <c r="B634" s="372"/>
      <c r="C634" s="372"/>
      <c r="D634" s="372"/>
      <c r="E634" s="375"/>
      <c r="F634" s="375"/>
      <c r="G634" s="375"/>
      <c r="H634" s="375"/>
      <c r="I634" s="375"/>
      <c r="J634" s="375"/>
      <c r="K634" s="376"/>
      <c r="L634" s="377"/>
      <c r="M634" s="377"/>
      <c r="N634" s="378"/>
    </row>
    <row r="635" spans="1:14" ht="21.75" customHeight="1" x14ac:dyDescent="0.55000000000000004">
      <c r="A635" s="372"/>
      <c r="B635" s="372"/>
      <c r="C635" s="372"/>
      <c r="D635" s="372"/>
      <c r="E635" s="375"/>
      <c r="F635" s="375"/>
      <c r="G635" s="375"/>
      <c r="H635" s="375"/>
      <c r="I635" s="375"/>
      <c r="J635" s="375"/>
      <c r="K635" s="376"/>
      <c r="L635" s="377"/>
      <c r="M635" s="377"/>
      <c r="N635" s="378"/>
    </row>
    <row r="636" spans="1:14" ht="21.75" customHeight="1" x14ac:dyDescent="0.55000000000000004">
      <c r="A636" s="372"/>
      <c r="B636" s="372"/>
      <c r="C636" s="372"/>
      <c r="D636" s="372"/>
      <c r="E636" s="375"/>
      <c r="F636" s="375"/>
      <c r="G636" s="375"/>
      <c r="H636" s="375"/>
      <c r="I636" s="375"/>
      <c r="J636" s="375"/>
      <c r="K636" s="376"/>
      <c r="L636" s="377"/>
      <c r="M636" s="377"/>
      <c r="N636" s="378"/>
    </row>
    <row r="637" spans="1:14" ht="21.75" customHeight="1" x14ac:dyDescent="0.55000000000000004">
      <c r="A637" s="372"/>
      <c r="B637" s="372"/>
      <c r="C637" s="372"/>
      <c r="D637" s="372"/>
      <c r="E637" s="375"/>
      <c r="F637" s="375"/>
      <c r="G637" s="375"/>
      <c r="H637" s="375"/>
      <c r="I637" s="375"/>
      <c r="J637" s="375"/>
      <c r="K637" s="376"/>
      <c r="L637" s="377"/>
      <c r="M637" s="377"/>
      <c r="N637" s="378"/>
    </row>
    <row r="638" spans="1:14" ht="21.75" customHeight="1" x14ac:dyDescent="0.55000000000000004">
      <c r="A638" s="372"/>
      <c r="B638" s="372"/>
      <c r="C638" s="372"/>
      <c r="D638" s="372"/>
      <c r="E638" s="375"/>
      <c r="F638" s="375"/>
      <c r="G638" s="375"/>
      <c r="H638" s="375"/>
      <c r="I638" s="375"/>
      <c r="J638" s="375"/>
      <c r="K638" s="376"/>
      <c r="L638" s="377"/>
      <c r="M638" s="377"/>
      <c r="N638" s="378"/>
    </row>
    <row r="639" spans="1:14" ht="21.75" customHeight="1" x14ac:dyDescent="0.55000000000000004">
      <c r="A639" s="372"/>
      <c r="B639" s="372"/>
      <c r="C639" s="372"/>
      <c r="D639" s="372"/>
      <c r="E639" s="375"/>
      <c r="F639" s="375"/>
      <c r="G639" s="375"/>
      <c r="H639" s="375"/>
      <c r="I639" s="375"/>
      <c r="J639" s="375"/>
      <c r="K639" s="376"/>
      <c r="L639" s="377"/>
      <c r="M639" s="377"/>
      <c r="N639" s="378"/>
    </row>
    <row r="640" spans="1:14" ht="21.75" customHeight="1" x14ac:dyDescent="0.55000000000000004">
      <c r="A640" s="372"/>
      <c r="B640" s="372"/>
      <c r="C640" s="372"/>
      <c r="D640" s="372"/>
      <c r="E640" s="375"/>
      <c r="F640" s="375"/>
      <c r="G640" s="375"/>
      <c r="H640" s="375"/>
      <c r="I640" s="375"/>
      <c r="J640" s="375"/>
      <c r="K640" s="376"/>
      <c r="L640" s="377"/>
      <c r="M640" s="377"/>
      <c r="N640" s="378"/>
    </row>
    <row r="641" spans="1:14" ht="21.75" customHeight="1" x14ac:dyDescent="0.55000000000000004">
      <c r="A641" s="372"/>
      <c r="B641" s="372"/>
      <c r="C641" s="372"/>
      <c r="D641" s="372"/>
      <c r="E641" s="375"/>
      <c r="F641" s="375"/>
      <c r="G641" s="375"/>
      <c r="H641" s="375"/>
      <c r="I641" s="375"/>
      <c r="J641" s="375"/>
      <c r="K641" s="376"/>
      <c r="L641" s="377"/>
      <c r="M641" s="377"/>
      <c r="N641" s="378"/>
    </row>
    <row r="642" spans="1:14" ht="21.75" customHeight="1" x14ac:dyDescent="0.55000000000000004">
      <c r="A642" s="372"/>
      <c r="B642" s="372"/>
      <c r="C642" s="372"/>
      <c r="D642" s="372"/>
      <c r="E642" s="375"/>
      <c r="F642" s="375"/>
      <c r="G642" s="375"/>
      <c r="H642" s="375"/>
      <c r="I642" s="375"/>
      <c r="J642" s="375"/>
      <c r="K642" s="376"/>
      <c r="L642" s="377"/>
      <c r="M642" s="377"/>
      <c r="N642" s="378"/>
    </row>
    <row r="643" spans="1:14" ht="21.75" customHeight="1" x14ac:dyDescent="0.55000000000000004">
      <c r="A643" s="372"/>
      <c r="B643" s="372"/>
      <c r="C643" s="372"/>
      <c r="D643" s="372"/>
      <c r="E643" s="375"/>
      <c r="F643" s="375"/>
      <c r="G643" s="375"/>
      <c r="H643" s="375"/>
      <c r="I643" s="375"/>
      <c r="J643" s="375"/>
      <c r="K643" s="376"/>
      <c r="L643" s="377"/>
      <c r="M643" s="377"/>
      <c r="N643" s="378"/>
    </row>
    <row r="644" spans="1:14" ht="21.75" customHeight="1" x14ac:dyDescent="0.55000000000000004">
      <c r="A644" s="372"/>
      <c r="B644" s="372"/>
      <c r="C644" s="372"/>
      <c r="D644" s="372"/>
      <c r="E644" s="375"/>
      <c r="F644" s="375"/>
      <c r="G644" s="375"/>
      <c r="H644" s="375"/>
      <c r="I644" s="375"/>
      <c r="J644" s="375"/>
      <c r="K644" s="376"/>
      <c r="L644" s="377"/>
      <c r="M644" s="377"/>
      <c r="N644" s="378"/>
    </row>
    <row r="645" spans="1:14" ht="21.75" customHeight="1" x14ac:dyDescent="0.55000000000000004">
      <c r="A645" s="372"/>
      <c r="B645" s="372"/>
      <c r="C645" s="372"/>
      <c r="D645" s="372"/>
      <c r="E645" s="375"/>
      <c r="F645" s="375"/>
      <c r="G645" s="375"/>
      <c r="H645" s="375"/>
      <c r="I645" s="375"/>
      <c r="J645" s="375"/>
      <c r="K645" s="376"/>
      <c r="L645" s="377"/>
      <c r="M645" s="377"/>
      <c r="N645" s="378"/>
    </row>
    <row r="646" spans="1:14" ht="21.75" customHeight="1" x14ac:dyDescent="0.55000000000000004">
      <c r="A646" s="372"/>
      <c r="B646" s="372"/>
      <c r="C646" s="372"/>
      <c r="D646" s="372"/>
      <c r="E646" s="375"/>
      <c r="F646" s="375"/>
      <c r="G646" s="375"/>
      <c r="H646" s="375"/>
      <c r="I646" s="375"/>
      <c r="J646" s="375"/>
      <c r="K646" s="376"/>
      <c r="L646" s="377"/>
      <c r="M646" s="377"/>
      <c r="N646" s="378"/>
    </row>
    <row r="647" spans="1:14" ht="21.75" customHeight="1" x14ac:dyDescent="0.55000000000000004">
      <c r="A647" s="372"/>
      <c r="B647" s="372"/>
      <c r="C647" s="372"/>
      <c r="D647" s="372"/>
      <c r="E647" s="375"/>
      <c r="F647" s="375"/>
      <c r="G647" s="375"/>
      <c r="H647" s="375"/>
      <c r="I647" s="375"/>
      <c r="J647" s="375"/>
      <c r="K647" s="376"/>
      <c r="L647" s="377"/>
      <c r="M647" s="377"/>
      <c r="N647" s="378"/>
    </row>
    <row r="648" spans="1:14" ht="21.75" customHeight="1" x14ac:dyDescent="0.55000000000000004">
      <c r="A648" s="372"/>
      <c r="B648" s="372"/>
      <c r="C648" s="372"/>
      <c r="D648" s="372"/>
      <c r="E648" s="375"/>
      <c r="F648" s="375"/>
      <c r="G648" s="375"/>
      <c r="H648" s="375"/>
      <c r="I648" s="375"/>
      <c r="J648" s="375"/>
      <c r="K648" s="376"/>
      <c r="L648" s="377"/>
      <c r="M648" s="377"/>
      <c r="N648" s="378"/>
    </row>
    <row r="649" spans="1:14" ht="21.75" customHeight="1" x14ac:dyDescent="0.55000000000000004">
      <c r="A649" s="372"/>
      <c r="B649" s="372"/>
      <c r="C649" s="372"/>
      <c r="D649" s="372"/>
      <c r="E649" s="375"/>
      <c r="F649" s="375"/>
      <c r="G649" s="375"/>
      <c r="H649" s="375"/>
      <c r="I649" s="375"/>
      <c r="J649" s="375"/>
      <c r="K649" s="376"/>
      <c r="L649" s="377"/>
      <c r="M649" s="377"/>
      <c r="N649" s="378"/>
    </row>
    <row r="650" spans="1:14" ht="21.75" customHeight="1" x14ac:dyDescent="0.55000000000000004">
      <c r="A650" s="372"/>
      <c r="B650" s="372"/>
      <c r="C650" s="372"/>
      <c r="D650" s="372"/>
      <c r="E650" s="375"/>
      <c r="F650" s="375"/>
      <c r="G650" s="375"/>
      <c r="H650" s="375"/>
      <c r="I650" s="375"/>
      <c r="J650" s="375"/>
      <c r="K650" s="376"/>
      <c r="L650" s="377"/>
      <c r="M650" s="377"/>
      <c r="N650" s="378"/>
    </row>
    <row r="651" spans="1:14" ht="21.75" customHeight="1" x14ac:dyDescent="0.55000000000000004">
      <c r="A651" s="372"/>
      <c r="B651" s="372"/>
      <c r="C651" s="372"/>
      <c r="D651" s="372"/>
      <c r="E651" s="375"/>
      <c r="F651" s="375"/>
      <c r="G651" s="375"/>
      <c r="H651" s="375"/>
      <c r="I651" s="375"/>
      <c r="J651" s="375"/>
      <c r="K651" s="376"/>
      <c r="L651" s="377"/>
      <c r="M651" s="377"/>
      <c r="N651" s="378"/>
    </row>
    <row r="652" spans="1:14" ht="21.75" customHeight="1" x14ac:dyDescent="0.55000000000000004">
      <c r="A652" s="372"/>
      <c r="B652" s="372"/>
      <c r="C652" s="372"/>
      <c r="D652" s="372"/>
      <c r="E652" s="375"/>
      <c r="F652" s="375"/>
      <c r="G652" s="375"/>
      <c r="H652" s="375"/>
      <c r="I652" s="375"/>
      <c r="J652" s="375"/>
      <c r="K652" s="376"/>
      <c r="L652" s="377"/>
      <c r="M652" s="377"/>
      <c r="N652" s="378"/>
    </row>
    <row r="653" spans="1:14" ht="21.75" customHeight="1" x14ac:dyDescent="0.55000000000000004">
      <c r="A653" s="372"/>
      <c r="B653" s="372"/>
      <c r="C653" s="372"/>
      <c r="D653" s="372"/>
      <c r="E653" s="375"/>
      <c r="F653" s="375"/>
      <c r="G653" s="375"/>
      <c r="H653" s="375"/>
      <c r="I653" s="375"/>
      <c r="J653" s="375"/>
      <c r="K653" s="376"/>
      <c r="L653" s="377"/>
      <c r="M653" s="377"/>
      <c r="N653" s="378"/>
    </row>
    <row r="654" spans="1:14" ht="21.75" customHeight="1" x14ac:dyDescent="0.55000000000000004">
      <c r="A654" s="372"/>
      <c r="B654" s="372"/>
      <c r="C654" s="372"/>
      <c r="D654" s="372"/>
      <c r="E654" s="375"/>
      <c r="F654" s="375"/>
      <c r="G654" s="375"/>
      <c r="H654" s="375"/>
      <c r="I654" s="375"/>
      <c r="J654" s="375"/>
      <c r="K654" s="376"/>
      <c r="L654" s="377"/>
      <c r="M654" s="377"/>
      <c r="N654" s="378"/>
    </row>
    <row r="655" spans="1:14" ht="21.75" customHeight="1" x14ac:dyDescent="0.55000000000000004">
      <c r="A655" s="372"/>
      <c r="B655" s="372"/>
      <c r="C655" s="372"/>
      <c r="D655" s="372"/>
      <c r="E655" s="375"/>
      <c r="F655" s="375"/>
      <c r="G655" s="375"/>
      <c r="H655" s="375"/>
      <c r="I655" s="375"/>
      <c r="J655" s="375"/>
      <c r="K655" s="376"/>
      <c r="L655" s="377"/>
      <c r="M655" s="377"/>
      <c r="N655" s="378"/>
    </row>
    <row r="656" spans="1:14" ht="21.75" customHeight="1" x14ac:dyDescent="0.55000000000000004">
      <c r="A656" s="372"/>
      <c r="B656" s="372"/>
      <c r="C656" s="372"/>
      <c r="D656" s="372"/>
      <c r="E656" s="375"/>
      <c r="F656" s="375"/>
      <c r="G656" s="375"/>
      <c r="H656" s="375"/>
      <c r="I656" s="375"/>
      <c r="J656" s="375"/>
      <c r="K656" s="376"/>
      <c r="L656" s="377"/>
      <c r="M656" s="377"/>
      <c r="N656" s="378"/>
    </row>
    <row r="657" spans="1:14" ht="21.75" customHeight="1" x14ac:dyDescent="0.55000000000000004">
      <c r="A657" s="372"/>
      <c r="B657" s="372"/>
      <c r="C657" s="372"/>
      <c r="D657" s="372"/>
      <c r="E657" s="375"/>
      <c r="F657" s="375"/>
      <c r="G657" s="375"/>
      <c r="H657" s="375"/>
      <c r="I657" s="375"/>
      <c r="J657" s="375"/>
      <c r="K657" s="376"/>
      <c r="L657" s="377"/>
      <c r="M657" s="377"/>
      <c r="N657" s="378"/>
    </row>
    <row r="658" spans="1:14" ht="21.75" customHeight="1" x14ac:dyDescent="0.55000000000000004">
      <c r="A658" s="372"/>
      <c r="B658" s="372"/>
      <c r="C658" s="372"/>
      <c r="D658" s="372"/>
      <c r="E658" s="375"/>
      <c r="F658" s="375"/>
      <c r="G658" s="375"/>
      <c r="H658" s="375"/>
      <c r="I658" s="375"/>
      <c r="J658" s="375"/>
      <c r="K658" s="376"/>
      <c r="L658" s="377"/>
      <c r="M658" s="377"/>
      <c r="N658" s="378"/>
    </row>
    <row r="659" spans="1:14" ht="21.75" customHeight="1" x14ac:dyDescent="0.55000000000000004">
      <c r="A659" s="372"/>
      <c r="B659" s="372"/>
      <c r="C659" s="372"/>
      <c r="D659" s="372"/>
      <c r="E659" s="375"/>
      <c r="F659" s="375"/>
      <c r="G659" s="375"/>
      <c r="H659" s="375"/>
      <c r="I659" s="375"/>
      <c r="J659" s="375"/>
      <c r="K659" s="376"/>
      <c r="L659" s="377"/>
      <c r="M659" s="377"/>
      <c r="N659" s="378"/>
    </row>
    <row r="660" spans="1:14" ht="21.75" customHeight="1" x14ac:dyDescent="0.55000000000000004">
      <c r="A660" s="372"/>
      <c r="B660" s="372"/>
      <c r="C660" s="372"/>
      <c r="D660" s="372"/>
      <c r="E660" s="375"/>
      <c r="F660" s="375"/>
      <c r="G660" s="375"/>
      <c r="H660" s="375"/>
      <c r="I660" s="375"/>
      <c r="J660" s="375"/>
      <c r="K660" s="376"/>
      <c r="L660" s="377"/>
      <c r="M660" s="377"/>
      <c r="N660" s="378"/>
    </row>
    <row r="661" spans="1:14" ht="21.75" customHeight="1" x14ac:dyDescent="0.55000000000000004">
      <c r="A661" s="372"/>
      <c r="B661" s="372"/>
      <c r="C661" s="372"/>
      <c r="D661" s="372"/>
      <c r="E661" s="375"/>
      <c r="F661" s="375"/>
      <c r="G661" s="375"/>
      <c r="H661" s="375"/>
      <c r="I661" s="375"/>
      <c r="J661" s="375"/>
      <c r="K661" s="376"/>
      <c r="L661" s="377"/>
      <c r="M661" s="377"/>
      <c r="N661" s="378"/>
    </row>
    <row r="662" spans="1:14" ht="21.75" customHeight="1" x14ac:dyDescent="0.55000000000000004">
      <c r="A662" s="372"/>
      <c r="B662" s="372"/>
      <c r="C662" s="372"/>
      <c r="D662" s="372"/>
      <c r="E662" s="375"/>
      <c r="F662" s="375"/>
      <c r="G662" s="375"/>
      <c r="H662" s="375"/>
      <c r="I662" s="375"/>
      <c r="J662" s="375"/>
      <c r="K662" s="376"/>
      <c r="L662" s="377"/>
      <c r="M662" s="377"/>
      <c r="N662" s="378"/>
    </row>
    <row r="663" spans="1:14" ht="21.75" customHeight="1" x14ac:dyDescent="0.55000000000000004">
      <c r="A663" s="372"/>
      <c r="B663" s="372"/>
      <c r="C663" s="372"/>
      <c r="D663" s="372"/>
      <c r="E663" s="375"/>
      <c r="F663" s="375"/>
      <c r="G663" s="375"/>
      <c r="H663" s="375"/>
      <c r="I663" s="375"/>
      <c r="J663" s="375"/>
      <c r="K663" s="376"/>
      <c r="L663" s="377"/>
      <c r="M663" s="377"/>
      <c r="N663" s="378"/>
    </row>
    <row r="664" spans="1:14" ht="21.75" customHeight="1" x14ac:dyDescent="0.55000000000000004">
      <c r="A664" s="372"/>
      <c r="B664" s="372"/>
      <c r="C664" s="372"/>
      <c r="D664" s="372"/>
      <c r="E664" s="375"/>
      <c r="F664" s="375"/>
      <c r="G664" s="375"/>
      <c r="H664" s="375"/>
      <c r="I664" s="375"/>
      <c r="J664" s="375"/>
      <c r="K664" s="376"/>
      <c r="L664" s="377"/>
      <c r="M664" s="377"/>
      <c r="N664" s="378"/>
    </row>
    <row r="665" spans="1:14" ht="21.75" customHeight="1" x14ac:dyDescent="0.55000000000000004">
      <c r="A665" s="372"/>
      <c r="B665" s="372"/>
      <c r="C665" s="372"/>
      <c r="D665" s="372"/>
      <c r="E665" s="375"/>
      <c r="F665" s="375"/>
      <c r="G665" s="375"/>
      <c r="H665" s="375"/>
      <c r="I665" s="375"/>
      <c r="J665" s="375"/>
      <c r="K665" s="376"/>
      <c r="L665" s="377"/>
      <c r="M665" s="377"/>
      <c r="N665" s="378"/>
    </row>
    <row r="666" spans="1:14" ht="21.75" customHeight="1" x14ac:dyDescent="0.55000000000000004">
      <c r="A666" s="372"/>
      <c r="B666" s="372"/>
      <c r="C666" s="372"/>
      <c r="D666" s="372"/>
      <c r="E666" s="375"/>
      <c r="F666" s="375"/>
      <c r="G666" s="375"/>
      <c r="H666" s="375"/>
      <c r="I666" s="375"/>
      <c r="J666" s="375"/>
      <c r="K666" s="376"/>
      <c r="L666" s="377"/>
      <c r="M666" s="377"/>
      <c r="N666" s="378"/>
    </row>
    <row r="667" spans="1:14" ht="21.75" customHeight="1" x14ac:dyDescent="0.55000000000000004">
      <c r="A667" s="372"/>
      <c r="B667" s="372"/>
      <c r="C667" s="372"/>
      <c r="D667" s="372"/>
      <c r="E667" s="375"/>
      <c r="F667" s="375"/>
      <c r="G667" s="375"/>
      <c r="H667" s="375"/>
      <c r="I667" s="375"/>
      <c r="J667" s="375"/>
      <c r="K667" s="376"/>
      <c r="L667" s="377"/>
      <c r="M667" s="377"/>
      <c r="N667" s="378"/>
    </row>
    <row r="668" spans="1:14" ht="21.75" customHeight="1" x14ac:dyDescent="0.55000000000000004">
      <c r="A668" s="372"/>
      <c r="B668" s="372"/>
      <c r="C668" s="372"/>
      <c r="D668" s="372"/>
      <c r="E668" s="375"/>
      <c r="F668" s="375"/>
      <c r="G668" s="375"/>
      <c r="H668" s="375"/>
      <c r="I668" s="375"/>
      <c r="J668" s="375"/>
      <c r="K668" s="376"/>
      <c r="L668" s="377"/>
      <c r="M668" s="377"/>
      <c r="N668" s="378"/>
    </row>
    <row r="669" spans="1:14" ht="21.75" customHeight="1" x14ac:dyDescent="0.55000000000000004">
      <c r="A669" s="372"/>
      <c r="B669" s="372"/>
      <c r="C669" s="372"/>
      <c r="D669" s="372"/>
      <c r="E669" s="375"/>
      <c r="F669" s="375"/>
      <c r="G669" s="375"/>
      <c r="H669" s="375"/>
      <c r="I669" s="375"/>
      <c r="J669" s="375"/>
      <c r="K669" s="376"/>
      <c r="L669" s="377"/>
      <c r="M669" s="377"/>
      <c r="N669" s="378"/>
    </row>
    <row r="670" spans="1:14" ht="21.75" customHeight="1" x14ac:dyDescent="0.55000000000000004">
      <c r="A670" s="372"/>
      <c r="B670" s="372"/>
      <c r="C670" s="372"/>
      <c r="D670" s="372"/>
      <c r="E670" s="375"/>
      <c r="F670" s="375"/>
      <c r="G670" s="375"/>
      <c r="H670" s="375"/>
      <c r="I670" s="375"/>
      <c r="J670" s="375"/>
      <c r="K670" s="376"/>
      <c r="L670" s="377"/>
      <c r="M670" s="377"/>
      <c r="N670" s="378"/>
    </row>
    <row r="671" spans="1:14" ht="21.75" customHeight="1" x14ac:dyDescent="0.55000000000000004">
      <c r="A671" s="372"/>
      <c r="B671" s="372"/>
      <c r="C671" s="372"/>
      <c r="D671" s="372"/>
      <c r="E671" s="375"/>
      <c r="F671" s="375"/>
      <c r="G671" s="375"/>
      <c r="H671" s="375"/>
      <c r="I671" s="375"/>
      <c r="J671" s="375"/>
      <c r="K671" s="376"/>
      <c r="L671" s="377"/>
      <c r="M671" s="377"/>
      <c r="N671" s="378"/>
    </row>
    <row r="672" spans="1:14" ht="21.75" customHeight="1" x14ac:dyDescent="0.55000000000000004">
      <c r="A672" s="372"/>
      <c r="B672" s="372"/>
      <c r="C672" s="372"/>
      <c r="D672" s="372"/>
      <c r="E672" s="375"/>
      <c r="F672" s="375"/>
      <c r="G672" s="375"/>
      <c r="H672" s="375"/>
      <c r="I672" s="375"/>
      <c r="J672" s="375"/>
      <c r="K672" s="376"/>
      <c r="L672" s="377"/>
      <c r="M672" s="377"/>
      <c r="N672" s="378"/>
    </row>
    <row r="673" spans="1:14" ht="21.75" customHeight="1" x14ac:dyDescent="0.55000000000000004">
      <c r="A673" s="372"/>
      <c r="B673" s="372"/>
      <c r="C673" s="372"/>
      <c r="D673" s="372"/>
      <c r="E673" s="375"/>
      <c r="F673" s="375"/>
      <c r="G673" s="375"/>
      <c r="H673" s="375"/>
      <c r="I673" s="375"/>
      <c r="J673" s="375"/>
      <c r="K673" s="376"/>
      <c r="L673" s="377"/>
      <c r="M673" s="377"/>
      <c r="N673" s="378"/>
    </row>
    <row r="674" spans="1:14" ht="21.75" customHeight="1" x14ac:dyDescent="0.55000000000000004">
      <c r="A674" s="372"/>
      <c r="B674" s="372"/>
      <c r="C674" s="372"/>
      <c r="D674" s="372"/>
      <c r="E674" s="375"/>
      <c r="F674" s="375"/>
      <c r="G674" s="375"/>
      <c r="H674" s="375"/>
      <c r="I674" s="375"/>
      <c r="J674" s="375"/>
      <c r="K674" s="376"/>
      <c r="L674" s="377"/>
      <c r="M674" s="377"/>
      <c r="N674" s="378"/>
    </row>
    <row r="675" spans="1:14" ht="21.75" customHeight="1" x14ac:dyDescent="0.55000000000000004">
      <c r="A675" s="372"/>
      <c r="B675" s="372"/>
      <c r="C675" s="372"/>
      <c r="D675" s="372"/>
      <c r="E675" s="375"/>
      <c r="F675" s="375"/>
      <c r="G675" s="375"/>
      <c r="H675" s="375"/>
      <c r="I675" s="375"/>
      <c r="J675" s="375"/>
      <c r="K675" s="376"/>
      <c r="L675" s="377"/>
      <c r="M675" s="377"/>
      <c r="N675" s="378"/>
    </row>
    <row r="676" spans="1:14" ht="21.75" customHeight="1" x14ac:dyDescent="0.55000000000000004">
      <c r="A676" s="372"/>
      <c r="B676" s="372"/>
      <c r="C676" s="372"/>
      <c r="D676" s="372"/>
      <c r="E676" s="375"/>
      <c r="F676" s="375"/>
      <c r="G676" s="375"/>
      <c r="H676" s="375"/>
      <c r="I676" s="375"/>
      <c r="J676" s="375"/>
      <c r="K676" s="376"/>
      <c r="L676" s="377"/>
      <c r="M676" s="377"/>
      <c r="N676" s="378"/>
    </row>
    <row r="677" spans="1:14" ht="21.75" customHeight="1" x14ac:dyDescent="0.55000000000000004">
      <c r="A677" s="372"/>
      <c r="B677" s="372"/>
      <c r="C677" s="372"/>
      <c r="D677" s="372"/>
      <c r="E677" s="375"/>
      <c r="F677" s="375"/>
      <c r="G677" s="375"/>
      <c r="H677" s="375"/>
      <c r="I677" s="375"/>
      <c r="J677" s="375"/>
      <c r="K677" s="376"/>
      <c r="L677" s="377"/>
      <c r="M677" s="377"/>
      <c r="N677" s="378"/>
    </row>
    <row r="678" spans="1:14" ht="21.75" customHeight="1" x14ac:dyDescent="0.55000000000000004">
      <c r="A678" s="372"/>
      <c r="B678" s="372"/>
      <c r="C678" s="372"/>
      <c r="D678" s="372"/>
      <c r="E678" s="375"/>
      <c r="F678" s="375"/>
      <c r="G678" s="375"/>
      <c r="H678" s="375"/>
      <c r="I678" s="375"/>
      <c r="J678" s="375"/>
      <c r="K678" s="376"/>
      <c r="L678" s="377"/>
      <c r="M678" s="377"/>
      <c r="N678" s="378"/>
    </row>
    <row r="679" spans="1:14" ht="21.75" customHeight="1" x14ac:dyDescent="0.55000000000000004">
      <c r="A679" s="372"/>
      <c r="B679" s="372"/>
      <c r="C679" s="372"/>
      <c r="D679" s="372"/>
      <c r="E679" s="375"/>
      <c r="F679" s="375"/>
      <c r="G679" s="375"/>
      <c r="H679" s="375"/>
      <c r="I679" s="375"/>
      <c r="J679" s="375"/>
      <c r="K679" s="376"/>
      <c r="L679" s="377"/>
      <c r="M679" s="377"/>
      <c r="N679" s="378"/>
    </row>
    <row r="680" spans="1:14" ht="21.75" customHeight="1" x14ac:dyDescent="0.55000000000000004">
      <c r="A680" s="372"/>
      <c r="B680" s="372"/>
      <c r="C680" s="372"/>
      <c r="D680" s="372"/>
      <c r="E680" s="375"/>
      <c r="F680" s="375"/>
      <c r="G680" s="375"/>
      <c r="H680" s="375"/>
      <c r="I680" s="375"/>
      <c r="J680" s="375"/>
      <c r="K680" s="376"/>
      <c r="L680" s="377"/>
      <c r="M680" s="377"/>
      <c r="N680" s="378"/>
    </row>
    <row r="681" spans="1:14" ht="21.75" customHeight="1" x14ac:dyDescent="0.55000000000000004">
      <c r="A681" s="372"/>
      <c r="B681" s="372"/>
      <c r="C681" s="372"/>
      <c r="D681" s="372"/>
      <c r="E681" s="375"/>
      <c r="F681" s="375"/>
      <c r="G681" s="375"/>
      <c r="H681" s="375"/>
      <c r="I681" s="375"/>
      <c r="J681" s="375"/>
      <c r="K681" s="376"/>
      <c r="L681" s="377"/>
      <c r="M681" s="377"/>
      <c r="N681" s="378"/>
    </row>
    <row r="682" spans="1:14" ht="21.75" customHeight="1" x14ac:dyDescent="0.55000000000000004">
      <c r="A682" s="372"/>
      <c r="B682" s="372"/>
      <c r="C682" s="372"/>
      <c r="D682" s="372"/>
      <c r="E682" s="375"/>
      <c r="F682" s="375"/>
      <c r="G682" s="375"/>
      <c r="H682" s="375"/>
      <c r="I682" s="375"/>
      <c r="J682" s="375"/>
      <c r="K682" s="376"/>
      <c r="L682" s="377"/>
      <c r="M682" s="377"/>
      <c r="N682" s="378"/>
    </row>
    <row r="683" spans="1:14" ht="21.75" customHeight="1" x14ac:dyDescent="0.55000000000000004">
      <c r="A683" s="372"/>
      <c r="B683" s="372"/>
      <c r="C683" s="372"/>
      <c r="D683" s="372"/>
      <c r="E683" s="375"/>
      <c r="F683" s="375"/>
      <c r="G683" s="375"/>
      <c r="H683" s="375"/>
      <c r="I683" s="375"/>
      <c r="J683" s="375"/>
      <c r="K683" s="376"/>
      <c r="L683" s="377"/>
      <c r="M683" s="377"/>
      <c r="N683" s="378"/>
    </row>
    <row r="684" spans="1:14" ht="21.75" customHeight="1" x14ac:dyDescent="0.55000000000000004">
      <c r="A684" s="372"/>
      <c r="B684" s="372"/>
      <c r="C684" s="372"/>
      <c r="D684" s="372"/>
      <c r="E684" s="375"/>
      <c r="F684" s="375"/>
      <c r="G684" s="375"/>
      <c r="H684" s="375"/>
      <c r="I684" s="375"/>
      <c r="J684" s="375"/>
      <c r="K684" s="376"/>
      <c r="L684" s="377"/>
      <c r="M684" s="377"/>
      <c r="N684" s="378"/>
    </row>
    <row r="685" spans="1:14" ht="21.75" customHeight="1" x14ac:dyDescent="0.55000000000000004">
      <c r="A685" s="372"/>
      <c r="B685" s="372"/>
      <c r="C685" s="372"/>
      <c r="D685" s="372"/>
      <c r="E685" s="375"/>
      <c r="F685" s="375"/>
      <c r="G685" s="375"/>
      <c r="H685" s="375"/>
      <c r="I685" s="375"/>
      <c r="J685" s="375"/>
      <c r="K685" s="376"/>
      <c r="L685" s="377"/>
      <c r="M685" s="377"/>
      <c r="N685" s="378"/>
    </row>
    <row r="686" spans="1:14" ht="21.75" customHeight="1" x14ac:dyDescent="0.55000000000000004">
      <c r="A686" s="372"/>
      <c r="B686" s="372"/>
      <c r="C686" s="372"/>
      <c r="D686" s="372"/>
      <c r="E686" s="375"/>
      <c r="F686" s="375"/>
      <c r="G686" s="375"/>
      <c r="H686" s="375"/>
      <c r="I686" s="375"/>
      <c r="J686" s="375"/>
      <c r="K686" s="376"/>
      <c r="L686" s="377"/>
      <c r="M686" s="377"/>
      <c r="N686" s="378"/>
    </row>
    <row r="687" spans="1:14" ht="21.75" customHeight="1" x14ac:dyDescent="0.55000000000000004">
      <c r="A687" s="372"/>
      <c r="B687" s="372"/>
      <c r="C687" s="372"/>
      <c r="D687" s="372"/>
      <c r="E687" s="375"/>
      <c r="F687" s="375"/>
      <c r="G687" s="375"/>
      <c r="H687" s="375"/>
      <c r="I687" s="375"/>
      <c r="J687" s="375"/>
      <c r="K687" s="376"/>
      <c r="L687" s="377"/>
      <c r="M687" s="377"/>
      <c r="N687" s="378"/>
    </row>
    <row r="688" spans="1:14" ht="21.75" customHeight="1" x14ac:dyDescent="0.55000000000000004">
      <c r="A688" s="372"/>
      <c r="B688" s="372"/>
      <c r="C688" s="372"/>
      <c r="D688" s="372"/>
      <c r="E688" s="375"/>
      <c r="F688" s="375"/>
      <c r="G688" s="375"/>
      <c r="H688" s="375"/>
      <c r="I688" s="375"/>
      <c r="J688" s="375"/>
      <c r="K688" s="376"/>
      <c r="L688" s="377"/>
      <c r="M688" s="377"/>
      <c r="N688" s="378"/>
    </row>
    <row r="689" spans="1:14" ht="21.75" customHeight="1" x14ac:dyDescent="0.55000000000000004">
      <c r="A689" s="372"/>
      <c r="B689" s="372"/>
      <c r="C689" s="372"/>
      <c r="D689" s="372"/>
      <c r="E689" s="375"/>
      <c r="F689" s="375"/>
      <c r="G689" s="375"/>
      <c r="H689" s="375"/>
      <c r="I689" s="375"/>
      <c r="J689" s="375"/>
      <c r="K689" s="376"/>
      <c r="L689" s="377"/>
      <c r="M689" s="377"/>
      <c r="N689" s="378"/>
    </row>
    <row r="690" spans="1:14" ht="21.75" customHeight="1" x14ac:dyDescent="0.55000000000000004">
      <c r="A690" s="372"/>
      <c r="B690" s="372"/>
      <c r="C690" s="372"/>
      <c r="D690" s="372"/>
      <c r="E690" s="375"/>
      <c r="F690" s="375"/>
      <c r="G690" s="375"/>
      <c r="H690" s="375"/>
      <c r="I690" s="375"/>
      <c r="J690" s="375"/>
      <c r="K690" s="376"/>
      <c r="L690" s="377"/>
      <c r="M690" s="377"/>
      <c r="N690" s="378"/>
    </row>
    <row r="691" spans="1:14" ht="21.75" customHeight="1" x14ac:dyDescent="0.55000000000000004">
      <c r="A691" s="372"/>
      <c r="B691" s="372"/>
      <c r="C691" s="372"/>
      <c r="D691" s="372"/>
      <c r="E691" s="375"/>
      <c r="F691" s="375"/>
      <c r="G691" s="375"/>
      <c r="H691" s="375"/>
      <c r="I691" s="375"/>
      <c r="J691" s="375"/>
      <c r="K691" s="376"/>
      <c r="L691" s="377"/>
      <c r="M691" s="377"/>
      <c r="N691" s="378"/>
    </row>
    <row r="692" spans="1:14" ht="21.75" customHeight="1" x14ac:dyDescent="0.55000000000000004">
      <c r="A692" s="372"/>
      <c r="B692" s="372"/>
      <c r="C692" s="372"/>
      <c r="D692" s="372"/>
      <c r="E692" s="375"/>
      <c r="F692" s="375"/>
      <c r="G692" s="375"/>
      <c r="H692" s="375"/>
      <c r="I692" s="375"/>
      <c r="J692" s="375"/>
      <c r="K692" s="376"/>
      <c r="L692" s="377"/>
      <c r="M692" s="377"/>
      <c r="N692" s="378"/>
    </row>
    <row r="693" spans="1:14" ht="21.75" customHeight="1" x14ac:dyDescent="0.55000000000000004">
      <c r="A693" s="372"/>
      <c r="B693" s="372"/>
      <c r="C693" s="372"/>
      <c r="D693" s="372"/>
      <c r="E693" s="375"/>
      <c r="F693" s="375"/>
      <c r="G693" s="375"/>
      <c r="H693" s="375"/>
      <c r="I693" s="375"/>
      <c r="J693" s="375"/>
      <c r="K693" s="376"/>
      <c r="L693" s="377"/>
      <c r="M693" s="377"/>
      <c r="N693" s="378"/>
    </row>
    <row r="694" spans="1:14" ht="21.75" customHeight="1" x14ac:dyDescent="0.55000000000000004">
      <c r="A694" s="372"/>
      <c r="B694" s="372"/>
      <c r="C694" s="372"/>
      <c r="D694" s="372"/>
      <c r="E694" s="375"/>
      <c r="F694" s="375"/>
      <c r="G694" s="375"/>
      <c r="H694" s="375"/>
      <c r="I694" s="375"/>
      <c r="J694" s="375"/>
      <c r="K694" s="376"/>
      <c r="L694" s="377"/>
      <c r="M694" s="377"/>
      <c r="N694" s="378"/>
    </row>
    <row r="695" spans="1:14" ht="21.75" customHeight="1" x14ac:dyDescent="0.55000000000000004">
      <c r="A695" s="372"/>
      <c r="B695" s="372"/>
      <c r="C695" s="372"/>
      <c r="D695" s="372"/>
      <c r="E695" s="375"/>
      <c r="F695" s="375"/>
      <c r="G695" s="375"/>
      <c r="H695" s="375"/>
      <c r="I695" s="375"/>
      <c r="J695" s="375"/>
      <c r="K695" s="376"/>
      <c r="L695" s="377"/>
      <c r="M695" s="377"/>
      <c r="N695" s="378"/>
    </row>
    <row r="696" spans="1:14" ht="21.75" customHeight="1" x14ac:dyDescent="0.55000000000000004">
      <c r="A696" s="372"/>
      <c r="B696" s="372"/>
      <c r="C696" s="372"/>
      <c r="D696" s="372"/>
      <c r="E696" s="375"/>
      <c r="F696" s="375"/>
      <c r="G696" s="375"/>
      <c r="H696" s="375"/>
      <c r="I696" s="375"/>
      <c r="J696" s="375"/>
      <c r="K696" s="376"/>
      <c r="L696" s="377"/>
      <c r="M696" s="377"/>
      <c r="N696" s="378"/>
    </row>
    <row r="697" spans="1:14" ht="21.75" customHeight="1" x14ac:dyDescent="0.55000000000000004">
      <c r="A697" s="372"/>
      <c r="B697" s="372"/>
      <c r="C697" s="372"/>
      <c r="D697" s="372"/>
      <c r="E697" s="375"/>
      <c r="F697" s="375"/>
      <c r="G697" s="375"/>
      <c r="H697" s="375"/>
      <c r="I697" s="375"/>
      <c r="J697" s="375"/>
      <c r="K697" s="376"/>
      <c r="L697" s="377"/>
      <c r="M697" s="377"/>
      <c r="N697" s="378"/>
    </row>
    <row r="698" spans="1:14" ht="21.75" customHeight="1" x14ac:dyDescent="0.55000000000000004">
      <c r="A698" s="372"/>
      <c r="B698" s="372"/>
      <c r="C698" s="372"/>
      <c r="D698" s="372"/>
      <c r="E698" s="375"/>
      <c r="F698" s="375"/>
      <c r="G698" s="375"/>
      <c r="H698" s="375"/>
      <c r="I698" s="375"/>
      <c r="J698" s="375"/>
      <c r="K698" s="376"/>
      <c r="L698" s="377"/>
      <c r="M698" s="377"/>
      <c r="N698" s="378"/>
    </row>
    <row r="699" spans="1:14" ht="21.75" customHeight="1" x14ac:dyDescent="0.55000000000000004">
      <c r="A699" s="372"/>
      <c r="B699" s="372"/>
      <c r="C699" s="372"/>
      <c r="D699" s="372"/>
      <c r="E699" s="375"/>
      <c r="F699" s="375"/>
      <c r="G699" s="375"/>
      <c r="H699" s="375"/>
      <c r="I699" s="375"/>
      <c r="J699" s="375"/>
      <c r="K699" s="376"/>
      <c r="L699" s="377"/>
      <c r="M699" s="377"/>
      <c r="N699" s="378"/>
    </row>
    <row r="700" spans="1:14" ht="21.75" customHeight="1" x14ac:dyDescent="0.55000000000000004">
      <c r="A700" s="372"/>
      <c r="B700" s="372"/>
      <c r="C700" s="372"/>
      <c r="D700" s="372"/>
      <c r="E700" s="375"/>
      <c r="F700" s="375"/>
      <c r="G700" s="375"/>
      <c r="H700" s="375"/>
      <c r="I700" s="375"/>
      <c r="J700" s="375"/>
      <c r="K700" s="376"/>
      <c r="L700" s="377"/>
      <c r="M700" s="377"/>
      <c r="N700" s="378"/>
    </row>
    <row r="701" spans="1:14" ht="21.75" customHeight="1" x14ac:dyDescent="0.55000000000000004">
      <c r="A701" s="372"/>
      <c r="B701" s="372"/>
      <c r="C701" s="372"/>
      <c r="D701" s="372"/>
      <c r="E701" s="375"/>
      <c r="F701" s="375"/>
      <c r="G701" s="375"/>
      <c r="H701" s="375"/>
      <c r="I701" s="375"/>
      <c r="J701" s="375"/>
      <c r="K701" s="376"/>
      <c r="L701" s="377"/>
      <c r="M701" s="377"/>
      <c r="N701" s="378"/>
    </row>
    <row r="702" spans="1:14" ht="21.75" customHeight="1" x14ac:dyDescent="0.55000000000000004">
      <c r="A702" s="372"/>
      <c r="B702" s="372"/>
      <c r="C702" s="372"/>
      <c r="D702" s="372"/>
      <c r="E702" s="375"/>
      <c r="F702" s="375"/>
      <c r="G702" s="375"/>
      <c r="H702" s="375"/>
      <c r="I702" s="375"/>
      <c r="J702" s="375"/>
      <c r="K702" s="376"/>
      <c r="L702" s="377"/>
      <c r="M702" s="377"/>
      <c r="N702" s="378"/>
    </row>
    <row r="703" spans="1:14" ht="21.75" customHeight="1" x14ac:dyDescent="0.55000000000000004">
      <c r="A703" s="372"/>
      <c r="B703" s="372"/>
      <c r="C703" s="372"/>
      <c r="D703" s="372"/>
      <c r="E703" s="375"/>
      <c r="F703" s="375"/>
      <c r="G703" s="375"/>
      <c r="H703" s="375"/>
      <c r="I703" s="375"/>
      <c r="J703" s="375"/>
      <c r="K703" s="376"/>
      <c r="L703" s="377"/>
      <c r="M703" s="377"/>
      <c r="N703" s="378"/>
    </row>
    <row r="704" spans="1:14" ht="21.75" customHeight="1" x14ac:dyDescent="0.55000000000000004">
      <c r="A704" s="372"/>
      <c r="B704" s="372"/>
      <c r="C704" s="372"/>
      <c r="D704" s="372"/>
      <c r="E704" s="375"/>
      <c r="F704" s="375"/>
      <c r="G704" s="375"/>
      <c r="H704" s="375"/>
      <c r="I704" s="375"/>
      <c r="J704" s="375"/>
      <c r="K704" s="376"/>
      <c r="L704" s="377"/>
      <c r="M704" s="377"/>
      <c r="N704" s="378"/>
    </row>
    <row r="705" spans="1:14" ht="21.75" customHeight="1" x14ac:dyDescent="0.55000000000000004">
      <c r="A705" s="372"/>
      <c r="B705" s="372"/>
      <c r="C705" s="372"/>
      <c r="D705" s="372"/>
      <c r="E705" s="375"/>
      <c r="F705" s="375"/>
      <c r="G705" s="375"/>
      <c r="H705" s="375"/>
      <c r="I705" s="375"/>
      <c r="J705" s="375"/>
      <c r="K705" s="376"/>
      <c r="L705" s="377"/>
      <c r="M705" s="377"/>
      <c r="N705" s="378"/>
    </row>
    <row r="706" spans="1:14" ht="21.75" customHeight="1" x14ac:dyDescent="0.55000000000000004">
      <c r="A706" s="372"/>
      <c r="B706" s="372"/>
      <c r="C706" s="372"/>
      <c r="D706" s="372"/>
      <c r="E706" s="375"/>
      <c r="F706" s="375"/>
      <c r="G706" s="375"/>
      <c r="H706" s="375"/>
      <c r="I706" s="375"/>
      <c r="J706" s="375"/>
      <c r="K706" s="376"/>
      <c r="L706" s="377"/>
      <c r="M706" s="377"/>
      <c r="N706" s="378"/>
    </row>
    <row r="707" spans="1:14" ht="21.75" customHeight="1" x14ac:dyDescent="0.55000000000000004">
      <c r="A707" s="372"/>
      <c r="B707" s="372"/>
      <c r="C707" s="372"/>
      <c r="D707" s="372"/>
      <c r="E707" s="375"/>
      <c r="F707" s="375"/>
      <c r="G707" s="375"/>
      <c r="H707" s="375"/>
      <c r="I707" s="375"/>
      <c r="J707" s="375"/>
      <c r="K707" s="376"/>
      <c r="L707" s="377"/>
      <c r="M707" s="377"/>
      <c r="N707" s="378"/>
    </row>
    <row r="708" spans="1:14" ht="21.75" customHeight="1" x14ac:dyDescent="0.55000000000000004">
      <c r="A708" s="372"/>
      <c r="B708" s="372"/>
      <c r="C708" s="372"/>
      <c r="D708" s="372"/>
      <c r="E708" s="375"/>
      <c r="F708" s="375"/>
      <c r="G708" s="375"/>
      <c r="H708" s="375"/>
      <c r="I708" s="375"/>
      <c r="J708" s="375"/>
      <c r="K708" s="376"/>
      <c r="L708" s="377"/>
      <c r="M708" s="377"/>
      <c r="N708" s="378"/>
    </row>
    <row r="709" spans="1:14" ht="21.75" customHeight="1" x14ac:dyDescent="0.55000000000000004">
      <c r="A709" s="372"/>
      <c r="B709" s="372"/>
      <c r="C709" s="372"/>
      <c r="D709" s="372"/>
      <c r="E709" s="375"/>
      <c r="F709" s="375"/>
      <c r="G709" s="375"/>
      <c r="H709" s="375"/>
      <c r="I709" s="375"/>
      <c r="J709" s="375"/>
      <c r="K709" s="376"/>
      <c r="L709" s="377"/>
      <c r="M709" s="377"/>
      <c r="N709" s="378"/>
    </row>
    <row r="710" spans="1:14" ht="21.75" customHeight="1" x14ac:dyDescent="0.55000000000000004">
      <c r="A710" s="372"/>
      <c r="B710" s="372"/>
      <c r="C710" s="372"/>
      <c r="D710" s="372"/>
      <c r="E710" s="375"/>
      <c r="F710" s="375"/>
      <c r="G710" s="375"/>
      <c r="H710" s="375"/>
      <c r="I710" s="375"/>
      <c r="J710" s="375"/>
      <c r="K710" s="376"/>
      <c r="L710" s="377"/>
      <c r="M710" s="377"/>
      <c r="N710" s="378"/>
    </row>
    <row r="711" spans="1:14" ht="21.75" customHeight="1" x14ac:dyDescent="0.55000000000000004">
      <c r="A711" s="372"/>
      <c r="B711" s="372"/>
      <c r="C711" s="372"/>
      <c r="D711" s="372"/>
      <c r="E711" s="375"/>
      <c r="F711" s="375"/>
      <c r="G711" s="375"/>
      <c r="H711" s="375"/>
      <c r="I711" s="375"/>
      <c r="J711" s="375"/>
      <c r="K711" s="376"/>
      <c r="L711" s="377"/>
      <c r="M711" s="377"/>
      <c r="N711" s="378"/>
    </row>
    <row r="712" spans="1:14" ht="21.75" customHeight="1" x14ac:dyDescent="0.55000000000000004">
      <c r="A712" s="372"/>
      <c r="B712" s="372"/>
      <c r="C712" s="372"/>
      <c r="D712" s="372"/>
      <c r="E712" s="375"/>
      <c r="F712" s="375"/>
      <c r="G712" s="375"/>
      <c r="H712" s="375"/>
      <c r="I712" s="375"/>
      <c r="J712" s="375"/>
      <c r="K712" s="376"/>
      <c r="L712" s="377"/>
      <c r="M712" s="377"/>
      <c r="N712" s="378"/>
    </row>
    <row r="713" spans="1:14" ht="21.75" customHeight="1" x14ac:dyDescent="0.55000000000000004">
      <c r="A713" s="372"/>
      <c r="B713" s="372"/>
      <c r="C713" s="372"/>
      <c r="D713" s="372"/>
      <c r="E713" s="375"/>
      <c r="F713" s="375"/>
      <c r="G713" s="375"/>
      <c r="H713" s="375"/>
      <c r="I713" s="375"/>
      <c r="J713" s="375"/>
      <c r="K713" s="376"/>
      <c r="L713" s="377"/>
      <c r="M713" s="377"/>
      <c r="N713" s="378"/>
    </row>
    <row r="714" spans="1:14" ht="21.75" customHeight="1" x14ac:dyDescent="0.55000000000000004">
      <c r="A714" s="372"/>
      <c r="B714" s="372"/>
      <c r="C714" s="372"/>
      <c r="D714" s="372"/>
      <c r="E714" s="375"/>
      <c r="F714" s="375"/>
      <c r="G714" s="375"/>
      <c r="H714" s="375"/>
      <c r="I714" s="375"/>
      <c r="J714" s="375"/>
      <c r="K714" s="376"/>
      <c r="L714" s="377"/>
      <c r="M714" s="377"/>
      <c r="N714" s="378"/>
    </row>
    <row r="715" spans="1:14" ht="21.75" customHeight="1" x14ac:dyDescent="0.55000000000000004">
      <c r="A715" s="372"/>
      <c r="B715" s="372"/>
      <c r="C715" s="372"/>
      <c r="D715" s="372"/>
      <c r="E715" s="375"/>
      <c r="F715" s="375"/>
      <c r="G715" s="375"/>
      <c r="H715" s="375"/>
      <c r="I715" s="375"/>
      <c r="J715" s="375"/>
      <c r="K715" s="376"/>
      <c r="L715" s="377"/>
      <c r="M715" s="377"/>
      <c r="N715" s="378"/>
    </row>
    <row r="716" spans="1:14" ht="21.75" customHeight="1" x14ac:dyDescent="0.55000000000000004">
      <c r="A716" s="372"/>
      <c r="B716" s="372"/>
      <c r="C716" s="372"/>
      <c r="D716" s="372"/>
      <c r="E716" s="375"/>
      <c r="F716" s="375"/>
      <c r="G716" s="375"/>
      <c r="H716" s="375"/>
      <c r="I716" s="375"/>
      <c r="J716" s="375"/>
      <c r="K716" s="376"/>
      <c r="L716" s="377"/>
      <c r="M716" s="377"/>
      <c r="N716" s="378"/>
    </row>
    <row r="717" spans="1:14" ht="21.75" customHeight="1" x14ac:dyDescent="0.55000000000000004">
      <c r="A717" s="372"/>
      <c r="B717" s="372"/>
      <c r="C717" s="372"/>
      <c r="D717" s="372"/>
      <c r="E717" s="375"/>
      <c r="F717" s="375"/>
      <c r="G717" s="375"/>
      <c r="H717" s="375"/>
      <c r="I717" s="375"/>
      <c r="J717" s="375"/>
      <c r="K717" s="376"/>
      <c r="L717" s="377"/>
      <c r="M717" s="377"/>
      <c r="N717" s="378"/>
    </row>
    <row r="718" spans="1:14" ht="21.75" customHeight="1" x14ac:dyDescent="0.55000000000000004">
      <c r="A718" s="372"/>
      <c r="B718" s="372"/>
      <c r="C718" s="372"/>
      <c r="D718" s="372"/>
      <c r="E718" s="375"/>
      <c r="F718" s="375"/>
      <c r="G718" s="375"/>
      <c r="H718" s="375"/>
      <c r="I718" s="375"/>
      <c r="J718" s="375"/>
      <c r="K718" s="376"/>
      <c r="L718" s="377"/>
      <c r="M718" s="377"/>
      <c r="N718" s="378"/>
    </row>
    <row r="719" spans="1:14" ht="21.75" customHeight="1" x14ac:dyDescent="0.55000000000000004">
      <c r="A719" s="372"/>
      <c r="B719" s="372"/>
      <c r="C719" s="372"/>
      <c r="D719" s="372"/>
      <c r="E719" s="375"/>
      <c r="F719" s="375"/>
      <c r="G719" s="375"/>
      <c r="H719" s="375"/>
      <c r="I719" s="375"/>
      <c r="J719" s="375"/>
      <c r="K719" s="376"/>
      <c r="L719" s="377"/>
      <c r="M719" s="377"/>
      <c r="N719" s="378"/>
    </row>
    <row r="720" spans="1:14" ht="21.75" customHeight="1" x14ac:dyDescent="0.55000000000000004">
      <c r="A720" s="372"/>
      <c r="B720" s="372"/>
      <c r="C720" s="372"/>
      <c r="D720" s="372"/>
      <c r="E720" s="375"/>
      <c r="F720" s="375"/>
      <c r="G720" s="375"/>
      <c r="H720" s="375"/>
      <c r="I720" s="375"/>
      <c r="J720" s="375"/>
      <c r="K720" s="376"/>
      <c r="L720" s="377"/>
      <c r="M720" s="377"/>
      <c r="N720" s="378"/>
    </row>
    <row r="721" spans="1:14" ht="21.75" customHeight="1" x14ac:dyDescent="0.55000000000000004">
      <c r="A721" s="372"/>
      <c r="B721" s="372"/>
      <c r="C721" s="372"/>
      <c r="D721" s="372"/>
      <c r="E721" s="375"/>
      <c r="F721" s="375"/>
      <c r="G721" s="375"/>
      <c r="H721" s="375"/>
      <c r="I721" s="375"/>
      <c r="J721" s="375"/>
      <c r="K721" s="376"/>
      <c r="L721" s="377"/>
      <c r="M721" s="377"/>
      <c r="N721" s="378"/>
    </row>
    <row r="722" spans="1:14" ht="21.75" customHeight="1" x14ac:dyDescent="0.55000000000000004">
      <c r="A722" s="372"/>
      <c r="B722" s="372"/>
      <c r="C722" s="372"/>
      <c r="D722" s="372"/>
      <c r="E722" s="375"/>
      <c r="F722" s="375"/>
      <c r="G722" s="375"/>
      <c r="H722" s="375"/>
      <c r="I722" s="375"/>
      <c r="J722" s="375"/>
      <c r="K722" s="376"/>
      <c r="L722" s="377"/>
      <c r="M722" s="377"/>
      <c r="N722" s="378"/>
    </row>
    <row r="723" spans="1:14" ht="21.75" customHeight="1" x14ac:dyDescent="0.55000000000000004">
      <c r="A723" s="372"/>
      <c r="B723" s="372"/>
      <c r="C723" s="372"/>
      <c r="D723" s="372"/>
      <c r="E723" s="375"/>
      <c r="F723" s="375"/>
      <c r="G723" s="375"/>
      <c r="H723" s="375"/>
      <c r="I723" s="375"/>
      <c r="J723" s="375"/>
      <c r="K723" s="376"/>
      <c r="L723" s="377"/>
      <c r="M723" s="377"/>
      <c r="N723" s="378"/>
    </row>
    <row r="724" spans="1:14" ht="21.75" customHeight="1" x14ac:dyDescent="0.55000000000000004">
      <c r="A724" s="372"/>
      <c r="B724" s="372"/>
      <c r="C724" s="372"/>
      <c r="D724" s="372"/>
      <c r="E724" s="375"/>
      <c r="F724" s="375"/>
      <c r="G724" s="375"/>
      <c r="H724" s="375"/>
      <c r="I724" s="375"/>
      <c r="J724" s="375"/>
      <c r="K724" s="376"/>
      <c r="L724" s="377"/>
      <c r="M724" s="377"/>
      <c r="N724" s="378"/>
    </row>
    <row r="725" spans="1:14" ht="21.75" customHeight="1" x14ac:dyDescent="0.55000000000000004">
      <c r="A725" s="372"/>
      <c r="B725" s="372"/>
      <c r="C725" s="372"/>
      <c r="D725" s="372"/>
      <c r="E725" s="375"/>
      <c r="F725" s="375"/>
      <c r="G725" s="375"/>
      <c r="H725" s="375"/>
      <c r="I725" s="375"/>
      <c r="J725" s="375"/>
      <c r="K725" s="376"/>
      <c r="L725" s="377"/>
      <c r="M725" s="377"/>
      <c r="N725" s="378"/>
    </row>
    <row r="726" spans="1:14" ht="21.75" customHeight="1" x14ac:dyDescent="0.55000000000000004">
      <c r="A726" s="372"/>
      <c r="B726" s="372"/>
      <c r="C726" s="372"/>
      <c r="D726" s="372"/>
      <c r="E726" s="375"/>
      <c r="F726" s="375"/>
      <c r="G726" s="375"/>
      <c r="H726" s="375"/>
      <c r="I726" s="375"/>
      <c r="J726" s="375"/>
      <c r="K726" s="376"/>
      <c r="L726" s="377"/>
      <c r="M726" s="377"/>
      <c r="N726" s="378"/>
    </row>
    <row r="727" spans="1:14" ht="21.75" customHeight="1" x14ac:dyDescent="0.55000000000000004">
      <c r="A727" s="372"/>
      <c r="B727" s="372"/>
      <c r="C727" s="372"/>
      <c r="D727" s="372"/>
      <c r="E727" s="375"/>
      <c r="F727" s="375"/>
      <c r="G727" s="375"/>
      <c r="H727" s="375"/>
      <c r="I727" s="375"/>
      <c r="J727" s="375"/>
      <c r="K727" s="376"/>
      <c r="L727" s="377"/>
      <c r="M727" s="377"/>
      <c r="N727" s="378"/>
    </row>
    <row r="728" spans="1:14" ht="21.75" customHeight="1" x14ac:dyDescent="0.55000000000000004">
      <c r="A728" s="372"/>
      <c r="B728" s="372"/>
      <c r="C728" s="372"/>
      <c r="D728" s="372"/>
      <c r="E728" s="375"/>
      <c r="F728" s="375"/>
      <c r="G728" s="375"/>
      <c r="H728" s="375"/>
      <c r="I728" s="375"/>
      <c r="J728" s="375"/>
      <c r="K728" s="376"/>
      <c r="L728" s="377"/>
      <c r="M728" s="377"/>
      <c r="N728" s="378"/>
    </row>
    <row r="729" spans="1:14" ht="21.75" customHeight="1" x14ac:dyDescent="0.55000000000000004">
      <c r="A729" s="372"/>
      <c r="B729" s="372"/>
      <c r="C729" s="372"/>
      <c r="D729" s="372"/>
      <c r="E729" s="375"/>
      <c r="F729" s="375"/>
      <c r="G729" s="375"/>
      <c r="H729" s="375"/>
      <c r="I729" s="375"/>
      <c r="J729" s="375"/>
      <c r="K729" s="376"/>
      <c r="L729" s="377"/>
      <c r="M729" s="377"/>
      <c r="N729" s="378"/>
    </row>
    <row r="730" spans="1:14" ht="21.75" customHeight="1" x14ac:dyDescent="0.55000000000000004">
      <c r="A730" s="372"/>
      <c r="B730" s="372"/>
      <c r="C730" s="372"/>
      <c r="D730" s="372"/>
      <c r="E730" s="375"/>
      <c r="F730" s="375"/>
      <c r="G730" s="375"/>
      <c r="H730" s="375"/>
      <c r="I730" s="375"/>
      <c r="J730" s="375"/>
      <c r="K730" s="376"/>
      <c r="L730" s="377"/>
      <c r="M730" s="377"/>
      <c r="N730" s="378"/>
    </row>
    <row r="731" spans="1:14" ht="21.75" customHeight="1" x14ac:dyDescent="0.55000000000000004">
      <c r="A731" s="372"/>
      <c r="B731" s="372"/>
      <c r="C731" s="372"/>
      <c r="D731" s="372"/>
      <c r="E731" s="375"/>
      <c r="F731" s="375"/>
      <c r="G731" s="375"/>
      <c r="H731" s="375"/>
      <c r="I731" s="375"/>
      <c r="J731" s="375"/>
      <c r="K731" s="376"/>
      <c r="L731" s="377"/>
      <c r="M731" s="377"/>
      <c r="N731" s="378"/>
    </row>
    <row r="732" spans="1:14" ht="21.75" customHeight="1" x14ac:dyDescent="0.55000000000000004">
      <c r="A732" s="372"/>
      <c r="B732" s="372"/>
      <c r="C732" s="372"/>
      <c r="D732" s="372"/>
      <c r="E732" s="375"/>
      <c r="F732" s="375"/>
      <c r="G732" s="375"/>
      <c r="H732" s="375"/>
      <c r="I732" s="375"/>
      <c r="J732" s="375"/>
      <c r="K732" s="376"/>
      <c r="L732" s="377"/>
      <c r="M732" s="377"/>
      <c r="N732" s="378"/>
    </row>
    <row r="733" spans="1:14" ht="21.75" customHeight="1" x14ac:dyDescent="0.55000000000000004">
      <c r="A733" s="372"/>
      <c r="B733" s="372"/>
      <c r="C733" s="372"/>
      <c r="D733" s="372"/>
      <c r="E733" s="375"/>
      <c r="F733" s="375"/>
      <c r="G733" s="375"/>
      <c r="H733" s="375"/>
      <c r="I733" s="375"/>
      <c r="J733" s="375"/>
      <c r="K733" s="376"/>
      <c r="L733" s="377"/>
      <c r="M733" s="377"/>
      <c r="N733" s="378"/>
    </row>
    <row r="734" spans="1:14" ht="21.75" customHeight="1" x14ac:dyDescent="0.55000000000000004">
      <c r="A734" s="372"/>
      <c r="B734" s="372"/>
      <c r="C734" s="372"/>
      <c r="D734" s="372"/>
      <c r="E734" s="375"/>
      <c r="F734" s="375"/>
      <c r="G734" s="375"/>
      <c r="H734" s="375"/>
      <c r="I734" s="375"/>
      <c r="J734" s="375"/>
      <c r="K734" s="376"/>
      <c r="L734" s="377"/>
      <c r="M734" s="377"/>
      <c r="N734" s="378"/>
    </row>
    <row r="735" spans="1:14" ht="21.75" customHeight="1" x14ac:dyDescent="0.55000000000000004">
      <c r="A735" s="372"/>
      <c r="B735" s="372"/>
      <c r="C735" s="372"/>
      <c r="D735" s="372"/>
      <c r="E735" s="375"/>
      <c r="F735" s="375"/>
      <c r="G735" s="375"/>
      <c r="H735" s="375"/>
      <c r="I735" s="375"/>
      <c r="J735" s="375"/>
      <c r="K735" s="376"/>
      <c r="L735" s="377"/>
      <c r="M735" s="377"/>
      <c r="N735" s="378"/>
    </row>
    <row r="736" spans="1:14" ht="21.75" customHeight="1" x14ac:dyDescent="0.55000000000000004">
      <c r="A736" s="372"/>
      <c r="B736" s="372"/>
      <c r="C736" s="372"/>
      <c r="D736" s="372"/>
      <c r="E736" s="375"/>
      <c r="F736" s="375"/>
      <c r="G736" s="375"/>
      <c r="H736" s="375"/>
      <c r="I736" s="375"/>
      <c r="J736" s="375"/>
      <c r="K736" s="376"/>
      <c r="L736" s="377"/>
      <c r="M736" s="377"/>
      <c r="N736" s="378"/>
    </row>
    <row r="737" spans="1:14" ht="21.75" customHeight="1" x14ac:dyDescent="0.55000000000000004">
      <c r="A737" s="372"/>
      <c r="B737" s="372"/>
      <c r="C737" s="372"/>
      <c r="D737" s="372"/>
      <c r="E737" s="375"/>
      <c r="F737" s="375"/>
      <c r="G737" s="375"/>
      <c r="H737" s="375"/>
      <c r="I737" s="375"/>
      <c r="J737" s="375"/>
      <c r="K737" s="376"/>
      <c r="L737" s="377"/>
      <c r="M737" s="377"/>
      <c r="N737" s="378"/>
    </row>
    <row r="738" spans="1:14" ht="21.75" customHeight="1" x14ac:dyDescent="0.55000000000000004">
      <c r="A738" s="372"/>
      <c r="B738" s="372"/>
      <c r="C738" s="372"/>
      <c r="D738" s="372"/>
      <c r="E738" s="375"/>
      <c r="F738" s="375"/>
      <c r="G738" s="375"/>
      <c r="H738" s="375"/>
      <c r="I738" s="375"/>
      <c r="J738" s="375"/>
      <c r="K738" s="376"/>
      <c r="L738" s="377"/>
      <c r="M738" s="377"/>
      <c r="N738" s="378"/>
    </row>
    <row r="739" spans="1:14" ht="21.75" customHeight="1" x14ac:dyDescent="0.55000000000000004">
      <c r="A739" s="372"/>
      <c r="B739" s="372"/>
      <c r="C739" s="372"/>
      <c r="D739" s="372"/>
      <c r="E739" s="375"/>
      <c r="F739" s="375"/>
      <c r="G739" s="375"/>
      <c r="H739" s="375"/>
      <c r="I739" s="375"/>
      <c r="J739" s="375"/>
      <c r="K739" s="376"/>
      <c r="L739" s="377"/>
      <c r="M739" s="377"/>
      <c r="N739" s="378"/>
    </row>
    <row r="740" spans="1:14" ht="21.75" customHeight="1" x14ac:dyDescent="0.55000000000000004">
      <c r="A740" s="372"/>
      <c r="B740" s="372"/>
      <c r="C740" s="372"/>
      <c r="D740" s="372"/>
      <c r="E740" s="375"/>
      <c r="F740" s="375"/>
      <c r="G740" s="375"/>
      <c r="H740" s="375"/>
      <c r="I740" s="375"/>
      <c r="J740" s="375"/>
      <c r="K740" s="376"/>
      <c r="L740" s="377"/>
      <c r="M740" s="377"/>
      <c r="N740" s="378"/>
    </row>
    <row r="741" spans="1:14" ht="21.75" customHeight="1" x14ac:dyDescent="0.55000000000000004">
      <c r="A741" s="372"/>
      <c r="B741" s="372"/>
      <c r="C741" s="372"/>
      <c r="D741" s="372"/>
      <c r="E741" s="375"/>
      <c r="F741" s="375"/>
      <c r="G741" s="375"/>
      <c r="H741" s="375"/>
      <c r="I741" s="375"/>
      <c r="J741" s="375"/>
      <c r="K741" s="376"/>
      <c r="L741" s="377"/>
      <c r="M741" s="377"/>
      <c r="N741" s="378"/>
    </row>
    <row r="742" spans="1:14" ht="21.75" customHeight="1" x14ac:dyDescent="0.55000000000000004">
      <c r="A742" s="372"/>
      <c r="B742" s="372"/>
      <c r="C742" s="372"/>
      <c r="D742" s="372"/>
      <c r="E742" s="375"/>
      <c r="F742" s="375"/>
      <c r="G742" s="375"/>
      <c r="H742" s="375"/>
      <c r="I742" s="375"/>
      <c r="J742" s="375"/>
      <c r="K742" s="376"/>
      <c r="L742" s="377"/>
      <c r="M742" s="377"/>
      <c r="N742" s="378"/>
    </row>
    <row r="743" spans="1:14" ht="21.75" customHeight="1" x14ac:dyDescent="0.55000000000000004">
      <c r="A743" s="372"/>
      <c r="B743" s="372"/>
      <c r="C743" s="372"/>
      <c r="D743" s="372"/>
      <c r="E743" s="375"/>
      <c r="F743" s="375"/>
      <c r="G743" s="375"/>
      <c r="H743" s="375"/>
      <c r="I743" s="375"/>
      <c r="J743" s="375"/>
      <c r="K743" s="376"/>
      <c r="L743" s="377"/>
      <c r="M743" s="377"/>
      <c r="N743" s="378"/>
    </row>
    <row r="744" spans="1:14" ht="21.75" customHeight="1" x14ac:dyDescent="0.55000000000000004">
      <c r="A744" s="372"/>
      <c r="B744" s="372"/>
      <c r="C744" s="372"/>
      <c r="D744" s="372"/>
      <c r="E744" s="375"/>
      <c r="F744" s="375"/>
      <c r="G744" s="375"/>
      <c r="H744" s="375"/>
      <c r="I744" s="375"/>
      <c r="J744" s="375"/>
      <c r="K744" s="376"/>
      <c r="L744" s="377"/>
      <c r="M744" s="377"/>
      <c r="N744" s="378"/>
    </row>
    <row r="745" spans="1:14" ht="21.75" customHeight="1" x14ac:dyDescent="0.55000000000000004">
      <c r="A745" s="372"/>
      <c r="B745" s="372"/>
      <c r="C745" s="372"/>
      <c r="D745" s="372"/>
      <c r="E745" s="375"/>
      <c r="F745" s="375"/>
      <c r="G745" s="375"/>
      <c r="H745" s="375"/>
      <c r="I745" s="375"/>
      <c r="J745" s="375"/>
      <c r="K745" s="376"/>
      <c r="L745" s="377"/>
      <c r="M745" s="377"/>
      <c r="N745" s="378"/>
    </row>
    <row r="746" spans="1:14" ht="21.75" customHeight="1" x14ac:dyDescent="0.55000000000000004">
      <c r="A746" s="372"/>
      <c r="B746" s="372"/>
      <c r="C746" s="372"/>
      <c r="D746" s="372"/>
      <c r="E746" s="375"/>
      <c r="F746" s="375"/>
      <c r="G746" s="375"/>
      <c r="H746" s="375"/>
      <c r="I746" s="375"/>
      <c r="J746" s="375"/>
      <c r="K746" s="376"/>
      <c r="L746" s="377"/>
      <c r="M746" s="377"/>
      <c r="N746" s="378"/>
    </row>
    <row r="747" spans="1:14" ht="21.75" customHeight="1" x14ac:dyDescent="0.55000000000000004">
      <c r="A747" s="372"/>
      <c r="B747" s="372"/>
      <c r="C747" s="372"/>
      <c r="D747" s="372"/>
      <c r="E747" s="375"/>
      <c r="F747" s="375"/>
      <c r="G747" s="375"/>
      <c r="H747" s="375"/>
      <c r="I747" s="375"/>
      <c r="J747" s="375"/>
      <c r="K747" s="376"/>
      <c r="L747" s="377"/>
      <c r="M747" s="377"/>
      <c r="N747" s="378"/>
    </row>
    <row r="748" spans="1:14" ht="21.75" customHeight="1" x14ac:dyDescent="0.55000000000000004">
      <c r="A748" s="372"/>
      <c r="B748" s="372"/>
      <c r="C748" s="372"/>
      <c r="D748" s="372"/>
      <c r="E748" s="375"/>
      <c r="F748" s="375"/>
      <c r="G748" s="375"/>
      <c r="H748" s="375"/>
      <c r="I748" s="375"/>
      <c r="J748" s="375"/>
      <c r="K748" s="376"/>
      <c r="L748" s="377"/>
      <c r="M748" s="377"/>
      <c r="N748" s="378"/>
    </row>
    <row r="749" spans="1:14" ht="21.75" customHeight="1" x14ac:dyDescent="0.55000000000000004">
      <c r="A749" s="372"/>
      <c r="B749" s="372"/>
      <c r="C749" s="372"/>
      <c r="D749" s="372"/>
      <c r="E749" s="375"/>
      <c r="F749" s="375"/>
      <c r="G749" s="375"/>
      <c r="H749" s="375"/>
      <c r="I749" s="375"/>
      <c r="J749" s="375"/>
      <c r="K749" s="376"/>
      <c r="L749" s="377"/>
      <c r="M749" s="377"/>
      <c r="N749" s="378"/>
    </row>
    <row r="750" spans="1:14" ht="21.75" customHeight="1" x14ac:dyDescent="0.55000000000000004">
      <c r="A750" s="372"/>
      <c r="B750" s="372"/>
      <c r="C750" s="372"/>
      <c r="D750" s="372"/>
      <c r="E750" s="375"/>
      <c r="F750" s="375"/>
      <c r="G750" s="375"/>
      <c r="H750" s="375"/>
      <c r="I750" s="375"/>
      <c r="J750" s="375"/>
      <c r="K750" s="376"/>
      <c r="L750" s="377"/>
      <c r="M750" s="377"/>
      <c r="N750" s="378"/>
    </row>
    <row r="751" spans="1:14" ht="21.75" customHeight="1" x14ac:dyDescent="0.55000000000000004">
      <c r="A751" s="372"/>
      <c r="B751" s="372"/>
      <c r="C751" s="372"/>
      <c r="D751" s="372"/>
      <c r="E751" s="375"/>
      <c r="F751" s="375"/>
      <c r="G751" s="375"/>
      <c r="H751" s="375"/>
      <c r="I751" s="375"/>
      <c r="J751" s="375"/>
      <c r="K751" s="376"/>
      <c r="L751" s="377"/>
      <c r="M751" s="377"/>
      <c r="N751" s="378"/>
    </row>
    <row r="752" spans="1:14" ht="21.75" customHeight="1" x14ac:dyDescent="0.55000000000000004">
      <c r="A752" s="372"/>
      <c r="B752" s="372"/>
      <c r="C752" s="372"/>
      <c r="D752" s="372"/>
      <c r="E752" s="375"/>
      <c r="F752" s="375"/>
      <c r="G752" s="375"/>
      <c r="H752" s="375"/>
      <c r="I752" s="375"/>
      <c r="J752" s="375"/>
      <c r="K752" s="376"/>
      <c r="L752" s="377"/>
      <c r="M752" s="377"/>
      <c r="N752" s="378"/>
    </row>
    <row r="753" spans="1:14" ht="21.75" customHeight="1" x14ac:dyDescent="0.55000000000000004">
      <c r="A753" s="372"/>
      <c r="B753" s="372"/>
      <c r="C753" s="372"/>
      <c r="D753" s="372"/>
      <c r="E753" s="375"/>
      <c r="F753" s="375"/>
      <c r="G753" s="375"/>
      <c r="H753" s="375"/>
      <c r="I753" s="375"/>
      <c r="J753" s="375"/>
      <c r="K753" s="376"/>
      <c r="L753" s="377"/>
      <c r="M753" s="377"/>
      <c r="N753" s="378"/>
    </row>
    <row r="754" spans="1:14" ht="21.75" customHeight="1" x14ac:dyDescent="0.55000000000000004">
      <c r="A754" s="372"/>
      <c r="B754" s="372"/>
      <c r="C754" s="372"/>
      <c r="D754" s="372"/>
      <c r="E754" s="375"/>
      <c r="F754" s="375"/>
      <c r="G754" s="375"/>
      <c r="H754" s="375"/>
      <c r="I754" s="375"/>
      <c r="J754" s="375"/>
      <c r="K754" s="376"/>
      <c r="L754" s="377"/>
      <c r="M754" s="377"/>
      <c r="N754" s="378"/>
    </row>
    <row r="755" spans="1:14" ht="21.75" customHeight="1" x14ac:dyDescent="0.55000000000000004">
      <c r="A755" s="372"/>
      <c r="B755" s="372"/>
      <c r="C755" s="372"/>
      <c r="D755" s="372"/>
      <c r="E755" s="375"/>
      <c r="F755" s="375"/>
      <c r="G755" s="375"/>
      <c r="H755" s="375"/>
      <c r="I755" s="375"/>
      <c r="J755" s="375"/>
      <c r="K755" s="376"/>
      <c r="L755" s="377"/>
      <c r="M755" s="377"/>
      <c r="N755" s="378"/>
    </row>
    <row r="756" spans="1:14" ht="21.75" customHeight="1" x14ac:dyDescent="0.55000000000000004">
      <c r="A756" s="372"/>
      <c r="B756" s="372"/>
      <c r="C756" s="372"/>
      <c r="D756" s="372"/>
      <c r="E756" s="375"/>
      <c r="F756" s="375"/>
      <c r="G756" s="375"/>
      <c r="H756" s="375"/>
      <c r="I756" s="375"/>
      <c r="J756" s="375"/>
      <c r="K756" s="376"/>
      <c r="L756" s="377"/>
      <c r="M756" s="377"/>
      <c r="N756" s="378"/>
    </row>
    <row r="757" spans="1:14" ht="21.75" customHeight="1" x14ac:dyDescent="0.55000000000000004">
      <c r="A757" s="372"/>
      <c r="B757" s="372"/>
      <c r="C757" s="372"/>
      <c r="D757" s="372"/>
      <c r="E757" s="375"/>
      <c r="F757" s="375"/>
      <c r="G757" s="375"/>
      <c r="H757" s="375"/>
      <c r="I757" s="375"/>
      <c r="J757" s="375"/>
      <c r="K757" s="376"/>
      <c r="L757" s="377"/>
      <c r="M757" s="377"/>
      <c r="N757" s="378"/>
    </row>
    <row r="758" spans="1:14" ht="21.75" customHeight="1" x14ac:dyDescent="0.55000000000000004">
      <c r="A758" s="372"/>
      <c r="B758" s="372"/>
      <c r="C758" s="372"/>
      <c r="D758" s="372"/>
      <c r="E758" s="375"/>
      <c r="F758" s="375"/>
      <c r="G758" s="375"/>
      <c r="H758" s="375"/>
      <c r="I758" s="375"/>
      <c r="J758" s="375"/>
      <c r="K758" s="376"/>
      <c r="L758" s="377"/>
      <c r="M758" s="377"/>
      <c r="N758" s="378"/>
    </row>
    <row r="759" spans="1:14" ht="21.75" customHeight="1" x14ac:dyDescent="0.55000000000000004">
      <c r="A759" s="372"/>
      <c r="B759" s="372"/>
      <c r="C759" s="372"/>
      <c r="D759" s="372"/>
      <c r="E759" s="375"/>
      <c r="F759" s="375"/>
      <c r="G759" s="375"/>
      <c r="H759" s="375"/>
      <c r="I759" s="375"/>
      <c r="J759" s="375"/>
      <c r="K759" s="376"/>
      <c r="L759" s="377"/>
      <c r="M759" s="377"/>
      <c r="N759" s="378"/>
    </row>
    <row r="760" spans="1:14" ht="21.75" customHeight="1" x14ac:dyDescent="0.55000000000000004">
      <c r="A760" s="372"/>
      <c r="B760" s="372"/>
      <c r="C760" s="372"/>
      <c r="D760" s="372"/>
      <c r="E760" s="375"/>
      <c r="F760" s="375"/>
      <c r="G760" s="375"/>
      <c r="H760" s="375"/>
      <c r="I760" s="375"/>
      <c r="J760" s="375"/>
      <c r="K760" s="376"/>
      <c r="L760" s="377"/>
      <c r="M760" s="377"/>
      <c r="N760" s="378"/>
    </row>
    <row r="761" spans="1:14" ht="21.75" customHeight="1" x14ac:dyDescent="0.55000000000000004">
      <c r="A761" s="372"/>
      <c r="B761" s="372"/>
      <c r="C761" s="372"/>
      <c r="D761" s="372"/>
      <c r="E761" s="375"/>
      <c r="F761" s="375"/>
      <c r="G761" s="375"/>
      <c r="H761" s="375"/>
      <c r="I761" s="375"/>
      <c r="J761" s="375"/>
      <c r="K761" s="376"/>
      <c r="L761" s="377"/>
      <c r="M761" s="377"/>
      <c r="N761" s="378"/>
    </row>
    <row r="762" spans="1:14" ht="21.75" customHeight="1" x14ac:dyDescent="0.55000000000000004">
      <c r="A762" s="372"/>
      <c r="B762" s="372"/>
      <c r="C762" s="372"/>
      <c r="D762" s="372"/>
      <c r="E762" s="375"/>
      <c r="F762" s="375"/>
      <c r="G762" s="375"/>
      <c r="H762" s="375"/>
      <c r="I762" s="375"/>
      <c r="J762" s="375"/>
      <c r="K762" s="376"/>
      <c r="L762" s="377"/>
      <c r="M762" s="377"/>
      <c r="N762" s="378"/>
    </row>
    <row r="763" spans="1:14" ht="21.75" customHeight="1" x14ac:dyDescent="0.55000000000000004">
      <c r="A763" s="372"/>
      <c r="B763" s="372"/>
      <c r="C763" s="372"/>
      <c r="D763" s="372"/>
      <c r="E763" s="375"/>
      <c r="F763" s="375"/>
      <c r="G763" s="375"/>
      <c r="H763" s="375"/>
      <c r="I763" s="375"/>
      <c r="J763" s="375"/>
      <c r="K763" s="376"/>
      <c r="L763" s="377"/>
      <c r="M763" s="377"/>
      <c r="N763" s="378"/>
    </row>
    <row r="764" spans="1:14" ht="21.75" customHeight="1" x14ac:dyDescent="0.55000000000000004">
      <c r="A764" s="372"/>
      <c r="B764" s="372"/>
      <c r="C764" s="372"/>
      <c r="D764" s="372"/>
      <c r="E764" s="375"/>
      <c r="F764" s="375"/>
      <c r="G764" s="375"/>
      <c r="H764" s="375"/>
      <c r="I764" s="375"/>
      <c r="J764" s="375"/>
      <c r="K764" s="376"/>
      <c r="L764" s="377"/>
      <c r="M764" s="377"/>
      <c r="N764" s="378"/>
    </row>
    <row r="765" spans="1:14" ht="21.75" customHeight="1" x14ac:dyDescent="0.55000000000000004">
      <c r="A765" s="372"/>
      <c r="B765" s="372"/>
      <c r="C765" s="372"/>
      <c r="D765" s="372"/>
      <c r="E765" s="375"/>
      <c r="F765" s="375"/>
      <c r="G765" s="375"/>
      <c r="H765" s="375"/>
      <c r="I765" s="375"/>
      <c r="J765" s="375"/>
      <c r="K765" s="376"/>
      <c r="L765" s="377"/>
      <c r="M765" s="377"/>
      <c r="N765" s="378"/>
    </row>
    <row r="766" spans="1:14" ht="21.75" customHeight="1" x14ac:dyDescent="0.55000000000000004">
      <c r="A766" s="372"/>
      <c r="B766" s="372"/>
      <c r="C766" s="372"/>
      <c r="D766" s="372"/>
      <c r="E766" s="375"/>
      <c r="F766" s="375"/>
      <c r="G766" s="375"/>
      <c r="H766" s="375"/>
      <c r="I766" s="375"/>
      <c r="J766" s="375"/>
      <c r="K766" s="376"/>
      <c r="L766" s="377"/>
      <c r="M766" s="377"/>
      <c r="N766" s="378"/>
    </row>
    <row r="767" spans="1:14" ht="21.75" customHeight="1" x14ac:dyDescent="0.55000000000000004">
      <c r="A767" s="372"/>
      <c r="B767" s="372"/>
      <c r="C767" s="372"/>
      <c r="D767" s="372"/>
      <c r="E767" s="375"/>
      <c r="F767" s="375"/>
      <c r="G767" s="375"/>
      <c r="H767" s="375"/>
      <c r="I767" s="375"/>
      <c r="J767" s="375"/>
      <c r="K767" s="376"/>
      <c r="L767" s="377"/>
      <c r="M767" s="377"/>
      <c r="N767" s="378"/>
    </row>
    <row r="768" spans="1:14" ht="21.75" customHeight="1" x14ac:dyDescent="0.55000000000000004">
      <c r="A768" s="372"/>
      <c r="B768" s="372"/>
      <c r="C768" s="372"/>
      <c r="D768" s="372"/>
      <c r="E768" s="375"/>
      <c r="F768" s="375"/>
      <c r="G768" s="375"/>
      <c r="H768" s="375"/>
      <c r="I768" s="375"/>
      <c r="J768" s="375"/>
      <c r="K768" s="376"/>
      <c r="L768" s="377"/>
      <c r="M768" s="377"/>
      <c r="N768" s="378"/>
    </row>
    <row r="769" spans="1:14" ht="21.75" customHeight="1" x14ac:dyDescent="0.55000000000000004">
      <c r="A769" s="372"/>
      <c r="B769" s="372"/>
      <c r="C769" s="372"/>
      <c r="D769" s="372"/>
      <c r="E769" s="375"/>
      <c r="F769" s="375"/>
      <c r="G769" s="375"/>
      <c r="H769" s="375"/>
      <c r="I769" s="375"/>
      <c r="J769" s="375"/>
      <c r="K769" s="376"/>
      <c r="L769" s="377"/>
      <c r="M769" s="377"/>
      <c r="N769" s="378"/>
    </row>
    <row r="770" spans="1:14" ht="21.75" customHeight="1" x14ac:dyDescent="0.55000000000000004">
      <c r="A770" s="372"/>
      <c r="B770" s="372"/>
      <c r="C770" s="372"/>
      <c r="D770" s="372"/>
      <c r="E770" s="375"/>
      <c r="F770" s="375"/>
      <c r="G770" s="375"/>
      <c r="H770" s="375"/>
      <c r="I770" s="375"/>
      <c r="J770" s="375"/>
      <c r="K770" s="376"/>
      <c r="L770" s="377"/>
      <c r="M770" s="377"/>
      <c r="N770" s="378"/>
    </row>
    <row r="771" spans="1:14" ht="21.75" customHeight="1" x14ac:dyDescent="0.55000000000000004">
      <c r="A771" s="372"/>
      <c r="B771" s="372"/>
      <c r="C771" s="372"/>
      <c r="D771" s="372"/>
      <c r="E771" s="375"/>
      <c r="F771" s="375"/>
      <c r="G771" s="375"/>
      <c r="H771" s="375"/>
      <c r="I771" s="375"/>
      <c r="J771" s="375"/>
      <c r="K771" s="376"/>
      <c r="L771" s="377"/>
      <c r="M771" s="377"/>
      <c r="N771" s="378"/>
    </row>
    <row r="772" spans="1:14" ht="21.75" customHeight="1" x14ac:dyDescent="0.55000000000000004">
      <c r="A772" s="372"/>
      <c r="B772" s="372"/>
      <c r="C772" s="372"/>
      <c r="D772" s="372"/>
      <c r="E772" s="375"/>
      <c r="F772" s="375"/>
      <c r="G772" s="375"/>
      <c r="H772" s="375"/>
      <c r="I772" s="375"/>
      <c r="J772" s="375"/>
      <c r="K772" s="376"/>
      <c r="L772" s="377"/>
      <c r="M772" s="377"/>
      <c r="N772" s="378"/>
    </row>
    <row r="773" spans="1:14" ht="21.75" customHeight="1" x14ac:dyDescent="0.55000000000000004">
      <c r="A773" s="372"/>
      <c r="B773" s="372"/>
      <c r="C773" s="372"/>
      <c r="D773" s="372"/>
      <c r="E773" s="375"/>
      <c r="F773" s="375"/>
      <c r="G773" s="375"/>
      <c r="H773" s="375"/>
      <c r="I773" s="375"/>
      <c r="J773" s="375"/>
      <c r="K773" s="376"/>
      <c r="L773" s="377"/>
      <c r="M773" s="377"/>
      <c r="N773" s="378"/>
    </row>
    <row r="774" spans="1:14" ht="21.75" customHeight="1" x14ac:dyDescent="0.55000000000000004">
      <c r="A774" s="372"/>
      <c r="B774" s="372"/>
      <c r="C774" s="372"/>
      <c r="D774" s="372"/>
      <c r="E774" s="375"/>
      <c r="F774" s="375"/>
      <c r="G774" s="375"/>
      <c r="H774" s="375"/>
      <c r="I774" s="375"/>
      <c r="J774" s="375"/>
      <c r="K774" s="376"/>
      <c r="L774" s="377"/>
      <c r="M774" s="377"/>
      <c r="N774" s="378"/>
    </row>
    <row r="775" spans="1:14" ht="21.75" customHeight="1" x14ac:dyDescent="0.55000000000000004">
      <c r="A775" s="372"/>
      <c r="B775" s="372"/>
      <c r="C775" s="372"/>
      <c r="D775" s="372"/>
      <c r="E775" s="375"/>
      <c r="F775" s="375"/>
      <c r="G775" s="375"/>
      <c r="H775" s="375"/>
      <c r="I775" s="375"/>
      <c r="J775" s="375"/>
      <c r="K775" s="376"/>
      <c r="L775" s="377"/>
      <c r="M775" s="377"/>
      <c r="N775" s="378"/>
    </row>
    <row r="776" spans="1:14" ht="21.75" customHeight="1" x14ac:dyDescent="0.55000000000000004">
      <c r="A776" s="372"/>
      <c r="B776" s="372"/>
      <c r="C776" s="372"/>
      <c r="D776" s="372"/>
      <c r="E776" s="375"/>
      <c r="F776" s="375"/>
      <c r="G776" s="375"/>
      <c r="H776" s="375"/>
      <c r="I776" s="375"/>
      <c r="J776" s="375"/>
      <c r="K776" s="376"/>
      <c r="L776" s="377"/>
      <c r="M776" s="377"/>
      <c r="N776" s="378"/>
    </row>
    <row r="777" spans="1:14" ht="21.75" customHeight="1" x14ac:dyDescent="0.55000000000000004">
      <c r="A777" s="372"/>
      <c r="B777" s="372"/>
      <c r="C777" s="372"/>
      <c r="D777" s="372"/>
      <c r="E777" s="375"/>
      <c r="F777" s="375"/>
      <c r="G777" s="375"/>
      <c r="H777" s="375"/>
      <c r="I777" s="375"/>
      <c r="J777" s="375"/>
      <c r="K777" s="376"/>
      <c r="L777" s="377"/>
      <c r="M777" s="377"/>
      <c r="N777" s="378"/>
    </row>
    <row r="778" spans="1:14" ht="21.75" customHeight="1" x14ac:dyDescent="0.55000000000000004">
      <c r="A778" s="372"/>
      <c r="B778" s="372"/>
      <c r="C778" s="372"/>
      <c r="D778" s="372"/>
      <c r="E778" s="375"/>
      <c r="F778" s="375"/>
      <c r="G778" s="375"/>
      <c r="H778" s="375"/>
      <c r="I778" s="375"/>
      <c r="J778" s="375"/>
      <c r="K778" s="376"/>
      <c r="L778" s="377"/>
      <c r="M778" s="377"/>
      <c r="N778" s="378"/>
    </row>
    <row r="779" spans="1:14" ht="21.75" customHeight="1" x14ac:dyDescent="0.55000000000000004">
      <c r="A779" s="372"/>
      <c r="B779" s="372"/>
      <c r="C779" s="372"/>
      <c r="D779" s="372"/>
      <c r="E779" s="375"/>
      <c r="F779" s="375"/>
      <c r="G779" s="375"/>
      <c r="H779" s="375"/>
      <c r="I779" s="375"/>
      <c r="J779" s="375"/>
      <c r="K779" s="376"/>
      <c r="L779" s="377"/>
      <c r="M779" s="377"/>
      <c r="N779" s="378"/>
    </row>
    <row r="780" spans="1:14" ht="21.75" customHeight="1" x14ac:dyDescent="0.55000000000000004">
      <c r="A780" s="372"/>
      <c r="B780" s="372"/>
      <c r="C780" s="372"/>
      <c r="D780" s="372"/>
      <c r="E780" s="375"/>
      <c r="F780" s="375"/>
      <c r="G780" s="375"/>
      <c r="H780" s="375"/>
      <c r="I780" s="375"/>
      <c r="J780" s="375"/>
      <c r="K780" s="376"/>
      <c r="L780" s="377"/>
      <c r="M780" s="377"/>
      <c r="N780" s="378"/>
    </row>
    <row r="781" spans="1:14" ht="21.75" customHeight="1" x14ac:dyDescent="0.55000000000000004">
      <c r="A781" s="372"/>
      <c r="B781" s="372"/>
      <c r="C781" s="372"/>
      <c r="D781" s="372"/>
      <c r="E781" s="375"/>
      <c r="F781" s="375"/>
      <c r="G781" s="375"/>
      <c r="H781" s="375"/>
      <c r="I781" s="375"/>
      <c r="J781" s="375"/>
      <c r="K781" s="376"/>
      <c r="L781" s="377"/>
      <c r="M781" s="377"/>
      <c r="N781" s="378"/>
    </row>
    <row r="782" spans="1:14" ht="21.75" customHeight="1" x14ac:dyDescent="0.55000000000000004">
      <c r="A782" s="372"/>
      <c r="B782" s="372"/>
      <c r="C782" s="372"/>
      <c r="D782" s="372"/>
      <c r="E782" s="375"/>
      <c r="F782" s="375"/>
      <c r="G782" s="375"/>
      <c r="H782" s="375"/>
      <c r="I782" s="375"/>
      <c r="J782" s="375"/>
      <c r="K782" s="376"/>
      <c r="L782" s="377"/>
      <c r="M782" s="377"/>
      <c r="N782" s="378"/>
    </row>
    <row r="783" spans="1:14" ht="21.75" customHeight="1" x14ac:dyDescent="0.55000000000000004">
      <c r="A783" s="372"/>
      <c r="B783" s="372"/>
      <c r="C783" s="372"/>
      <c r="D783" s="372"/>
      <c r="E783" s="375"/>
      <c r="F783" s="375"/>
      <c r="G783" s="375"/>
      <c r="H783" s="375"/>
      <c r="I783" s="375"/>
      <c r="J783" s="375"/>
      <c r="K783" s="376"/>
      <c r="L783" s="377"/>
      <c r="M783" s="377"/>
      <c r="N783" s="378"/>
    </row>
    <row r="784" spans="1:14" ht="21.75" customHeight="1" x14ac:dyDescent="0.55000000000000004">
      <c r="A784" s="372"/>
      <c r="B784" s="372"/>
      <c r="C784" s="372"/>
      <c r="D784" s="372"/>
      <c r="E784" s="375"/>
      <c r="F784" s="375"/>
      <c r="G784" s="375"/>
      <c r="H784" s="375"/>
      <c r="I784" s="375"/>
      <c r="J784" s="375"/>
      <c r="K784" s="376"/>
      <c r="L784" s="377"/>
      <c r="M784" s="377"/>
      <c r="N784" s="378"/>
    </row>
    <row r="785" spans="1:14" ht="21.75" customHeight="1" x14ac:dyDescent="0.55000000000000004">
      <c r="A785" s="372"/>
      <c r="B785" s="372"/>
      <c r="C785" s="372"/>
      <c r="D785" s="372"/>
      <c r="E785" s="375"/>
      <c r="F785" s="375"/>
      <c r="G785" s="375"/>
      <c r="H785" s="375"/>
      <c r="I785" s="375"/>
      <c r="J785" s="375"/>
      <c r="K785" s="376"/>
      <c r="L785" s="377"/>
      <c r="M785" s="377"/>
      <c r="N785" s="378"/>
    </row>
    <row r="786" spans="1:14" ht="21.75" customHeight="1" x14ac:dyDescent="0.55000000000000004">
      <c r="A786" s="372"/>
      <c r="B786" s="372"/>
      <c r="C786" s="372"/>
      <c r="D786" s="372"/>
      <c r="E786" s="375"/>
      <c r="F786" s="375"/>
      <c r="G786" s="375"/>
      <c r="H786" s="375"/>
      <c r="I786" s="375"/>
      <c r="J786" s="375"/>
      <c r="K786" s="376"/>
      <c r="L786" s="377"/>
      <c r="M786" s="377"/>
      <c r="N786" s="378"/>
    </row>
    <row r="787" spans="1:14" ht="21.75" customHeight="1" x14ac:dyDescent="0.55000000000000004">
      <c r="A787" s="372"/>
      <c r="B787" s="372"/>
      <c r="C787" s="372"/>
      <c r="D787" s="372"/>
      <c r="E787" s="375"/>
      <c r="F787" s="375"/>
      <c r="G787" s="375"/>
      <c r="H787" s="375"/>
      <c r="I787" s="375"/>
      <c r="J787" s="375"/>
      <c r="K787" s="376"/>
      <c r="L787" s="377"/>
      <c r="M787" s="377"/>
      <c r="N787" s="378"/>
    </row>
    <row r="788" spans="1:14" ht="21.75" customHeight="1" x14ac:dyDescent="0.55000000000000004">
      <c r="A788" s="372"/>
      <c r="B788" s="372"/>
      <c r="C788" s="372"/>
      <c r="D788" s="372"/>
      <c r="E788" s="375"/>
      <c r="F788" s="375"/>
      <c r="G788" s="375"/>
      <c r="H788" s="375"/>
      <c r="I788" s="375"/>
      <c r="J788" s="375"/>
      <c r="K788" s="376"/>
      <c r="L788" s="377"/>
      <c r="M788" s="377"/>
      <c r="N788" s="378"/>
    </row>
    <row r="789" spans="1:14" ht="21.75" customHeight="1" x14ac:dyDescent="0.55000000000000004">
      <c r="A789" s="372"/>
      <c r="B789" s="372"/>
      <c r="C789" s="372"/>
      <c r="D789" s="372"/>
      <c r="E789" s="375"/>
      <c r="F789" s="375"/>
      <c r="G789" s="375"/>
      <c r="H789" s="375"/>
      <c r="I789" s="375"/>
      <c r="J789" s="375"/>
      <c r="K789" s="376"/>
      <c r="L789" s="377"/>
      <c r="M789" s="377"/>
      <c r="N789" s="378"/>
    </row>
    <row r="790" spans="1:14" ht="21.75" customHeight="1" x14ac:dyDescent="0.55000000000000004">
      <c r="A790" s="372"/>
      <c r="B790" s="372"/>
      <c r="C790" s="372"/>
      <c r="D790" s="372"/>
      <c r="E790" s="375"/>
      <c r="F790" s="375"/>
      <c r="G790" s="375"/>
      <c r="H790" s="375"/>
      <c r="I790" s="375"/>
      <c r="J790" s="375"/>
      <c r="K790" s="376"/>
      <c r="L790" s="377"/>
      <c r="M790" s="377"/>
      <c r="N790" s="378"/>
    </row>
    <row r="791" spans="1:14" ht="21.75" customHeight="1" x14ac:dyDescent="0.55000000000000004">
      <c r="A791" s="372"/>
      <c r="B791" s="372"/>
      <c r="C791" s="372"/>
      <c r="D791" s="372"/>
      <c r="E791" s="375"/>
      <c r="F791" s="375"/>
      <c r="G791" s="375"/>
      <c r="H791" s="375"/>
      <c r="I791" s="375"/>
      <c r="J791" s="375"/>
      <c r="K791" s="376"/>
      <c r="L791" s="377"/>
      <c r="M791" s="377"/>
      <c r="N791" s="378"/>
    </row>
    <row r="792" spans="1:14" ht="21.75" customHeight="1" x14ac:dyDescent="0.55000000000000004">
      <c r="A792" s="372"/>
      <c r="B792" s="372"/>
      <c r="C792" s="372"/>
      <c r="D792" s="372"/>
      <c r="E792" s="375"/>
      <c r="F792" s="375"/>
      <c r="G792" s="375"/>
      <c r="H792" s="375"/>
      <c r="I792" s="375"/>
      <c r="J792" s="375"/>
      <c r="K792" s="376"/>
      <c r="L792" s="377"/>
      <c r="M792" s="377"/>
      <c r="N792" s="378"/>
    </row>
    <row r="793" spans="1:14" ht="21.75" customHeight="1" x14ac:dyDescent="0.55000000000000004">
      <c r="A793" s="372"/>
      <c r="B793" s="372"/>
      <c r="C793" s="372"/>
      <c r="D793" s="372"/>
      <c r="E793" s="375"/>
      <c r="F793" s="375"/>
      <c r="G793" s="375"/>
      <c r="H793" s="375"/>
      <c r="I793" s="375"/>
      <c r="J793" s="375"/>
      <c r="K793" s="376"/>
      <c r="L793" s="377"/>
      <c r="M793" s="377"/>
      <c r="N793" s="378"/>
    </row>
    <row r="794" spans="1:14" ht="21.75" customHeight="1" x14ac:dyDescent="0.55000000000000004">
      <c r="A794" s="372"/>
      <c r="B794" s="372"/>
      <c r="C794" s="372"/>
      <c r="D794" s="372"/>
      <c r="E794" s="375"/>
      <c r="F794" s="375"/>
      <c r="G794" s="375"/>
      <c r="H794" s="375"/>
      <c r="I794" s="375"/>
      <c r="J794" s="375"/>
      <c r="K794" s="376"/>
      <c r="L794" s="377"/>
      <c r="M794" s="377"/>
      <c r="N794" s="378"/>
    </row>
    <row r="795" spans="1:14" ht="21.75" customHeight="1" x14ac:dyDescent="0.55000000000000004">
      <c r="A795" s="372"/>
      <c r="B795" s="372"/>
      <c r="C795" s="372"/>
      <c r="D795" s="372"/>
      <c r="E795" s="375"/>
      <c r="F795" s="375"/>
      <c r="G795" s="375"/>
      <c r="H795" s="375"/>
      <c r="I795" s="375"/>
      <c r="J795" s="375"/>
      <c r="K795" s="376"/>
      <c r="L795" s="377"/>
      <c r="M795" s="377"/>
      <c r="N795" s="378"/>
    </row>
    <row r="796" spans="1:14" ht="21.75" customHeight="1" x14ac:dyDescent="0.55000000000000004">
      <c r="A796" s="372"/>
      <c r="B796" s="372"/>
      <c r="C796" s="372"/>
      <c r="D796" s="372"/>
      <c r="E796" s="375"/>
      <c r="F796" s="375"/>
      <c r="G796" s="375"/>
      <c r="H796" s="375"/>
      <c r="I796" s="375"/>
      <c r="J796" s="375"/>
      <c r="K796" s="376"/>
      <c r="L796" s="377"/>
      <c r="M796" s="377"/>
      <c r="N796" s="378"/>
    </row>
    <row r="797" spans="1:14" ht="21.75" customHeight="1" x14ac:dyDescent="0.55000000000000004">
      <c r="A797" s="372"/>
      <c r="B797" s="372"/>
      <c r="C797" s="372"/>
      <c r="D797" s="372"/>
      <c r="E797" s="375"/>
      <c r="F797" s="375"/>
      <c r="G797" s="375"/>
      <c r="H797" s="375"/>
      <c r="I797" s="375"/>
      <c r="J797" s="375"/>
      <c r="K797" s="376"/>
      <c r="L797" s="377"/>
      <c r="M797" s="377"/>
      <c r="N797" s="378"/>
    </row>
    <row r="798" spans="1:14" ht="21.75" customHeight="1" x14ac:dyDescent="0.55000000000000004">
      <c r="A798" s="372"/>
      <c r="B798" s="372"/>
      <c r="C798" s="372"/>
      <c r="D798" s="372"/>
      <c r="E798" s="375"/>
      <c r="F798" s="375"/>
      <c r="G798" s="375"/>
      <c r="H798" s="375"/>
      <c r="I798" s="375"/>
      <c r="J798" s="375"/>
      <c r="K798" s="376"/>
      <c r="L798" s="377"/>
      <c r="M798" s="377"/>
      <c r="N798" s="378"/>
    </row>
    <row r="799" spans="1:14" ht="21.75" customHeight="1" x14ac:dyDescent="0.55000000000000004">
      <c r="A799" s="372"/>
      <c r="B799" s="372"/>
      <c r="C799" s="372"/>
      <c r="D799" s="372"/>
      <c r="E799" s="375"/>
      <c r="F799" s="375"/>
      <c r="G799" s="375"/>
      <c r="H799" s="375"/>
      <c r="I799" s="375"/>
      <c r="J799" s="375"/>
      <c r="K799" s="376"/>
      <c r="L799" s="377"/>
      <c r="M799" s="377"/>
      <c r="N799" s="378"/>
    </row>
    <row r="800" spans="1:14" ht="21.75" customHeight="1" x14ac:dyDescent="0.55000000000000004">
      <c r="A800" s="372"/>
      <c r="B800" s="372"/>
      <c r="C800" s="372"/>
      <c r="D800" s="372"/>
      <c r="E800" s="375"/>
      <c r="F800" s="375"/>
      <c r="G800" s="375"/>
      <c r="H800" s="375"/>
      <c r="I800" s="375"/>
      <c r="J800" s="375"/>
      <c r="K800" s="376"/>
      <c r="L800" s="377"/>
      <c r="M800" s="377"/>
      <c r="N800" s="378"/>
    </row>
    <row r="801" spans="1:14" ht="21.75" customHeight="1" x14ac:dyDescent="0.55000000000000004">
      <c r="A801" s="372"/>
      <c r="B801" s="372"/>
      <c r="C801" s="372"/>
      <c r="D801" s="372"/>
      <c r="E801" s="375"/>
      <c r="F801" s="375"/>
      <c r="G801" s="375"/>
      <c r="H801" s="375"/>
      <c r="I801" s="375"/>
      <c r="J801" s="375"/>
      <c r="K801" s="376"/>
      <c r="L801" s="377"/>
      <c r="M801" s="377"/>
      <c r="N801" s="378"/>
    </row>
    <row r="802" spans="1:14" ht="21.75" customHeight="1" x14ac:dyDescent="0.55000000000000004">
      <c r="A802" s="372"/>
      <c r="B802" s="372"/>
      <c r="C802" s="372"/>
      <c r="D802" s="372"/>
      <c r="E802" s="375"/>
      <c r="F802" s="375"/>
      <c r="G802" s="375"/>
      <c r="H802" s="375"/>
      <c r="I802" s="375"/>
      <c r="J802" s="375"/>
      <c r="K802" s="376"/>
      <c r="L802" s="377"/>
      <c r="M802" s="377"/>
      <c r="N802" s="378"/>
    </row>
    <row r="803" spans="1:14" ht="21.75" customHeight="1" x14ac:dyDescent="0.55000000000000004">
      <c r="A803" s="372"/>
      <c r="B803" s="372"/>
      <c r="C803" s="372"/>
      <c r="D803" s="372"/>
      <c r="E803" s="375"/>
      <c r="F803" s="375"/>
      <c r="G803" s="375"/>
      <c r="H803" s="375"/>
      <c r="I803" s="375"/>
      <c r="J803" s="375"/>
      <c r="K803" s="376"/>
      <c r="L803" s="377"/>
      <c r="M803" s="377"/>
      <c r="N803" s="378"/>
    </row>
    <row r="804" spans="1:14" ht="21.75" customHeight="1" x14ac:dyDescent="0.55000000000000004">
      <c r="A804" s="372"/>
      <c r="B804" s="372"/>
      <c r="C804" s="372"/>
      <c r="D804" s="372"/>
      <c r="E804" s="375"/>
      <c r="F804" s="375"/>
      <c r="G804" s="375"/>
      <c r="H804" s="375"/>
      <c r="I804" s="375"/>
      <c r="J804" s="375"/>
      <c r="K804" s="376"/>
      <c r="L804" s="377"/>
      <c r="M804" s="377"/>
      <c r="N804" s="378"/>
    </row>
    <row r="805" spans="1:14" ht="21.75" customHeight="1" x14ac:dyDescent="0.55000000000000004">
      <c r="A805" s="372"/>
      <c r="B805" s="372"/>
      <c r="C805" s="372"/>
      <c r="D805" s="372"/>
      <c r="E805" s="375"/>
      <c r="F805" s="375"/>
      <c r="G805" s="375"/>
      <c r="H805" s="375"/>
      <c r="I805" s="375"/>
      <c r="J805" s="375"/>
      <c r="K805" s="376"/>
      <c r="L805" s="377"/>
      <c r="M805" s="377"/>
      <c r="N805" s="378"/>
    </row>
    <row r="806" spans="1:14" ht="21.75" customHeight="1" x14ac:dyDescent="0.55000000000000004">
      <c r="A806" s="372"/>
      <c r="B806" s="372"/>
      <c r="C806" s="372"/>
      <c r="D806" s="372"/>
      <c r="E806" s="375"/>
      <c r="F806" s="375"/>
      <c r="G806" s="375"/>
      <c r="H806" s="375"/>
      <c r="I806" s="375"/>
      <c r="J806" s="375"/>
      <c r="K806" s="376"/>
      <c r="L806" s="377"/>
      <c r="M806" s="377"/>
      <c r="N806" s="378"/>
    </row>
    <row r="807" spans="1:14" ht="21.75" customHeight="1" x14ac:dyDescent="0.55000000000000004">
      <c r="A807" s="372"/>
      <c r="B807" s="372"/>
      <c r="C807" s="372"/>
      <c r="D807" s="372"/>
      <c r="E807" s="375"/>
      <c r="F807" s="375"/>
      <c r="G807" s="375"/>
      <c r="H807" s="375"/>
      <c r="I807" s="375"/>
      <c r="J807" s="375"/>
      <c r="K807" s="376"/>
      <c r="L807" s="377"/>
      <c r="M807" s="377"/>
      <c r="N807" s="378"/>
    </row>
    <row r="808" spans="1:14" ht="21.75" customHeight="1" x14ac:dyDescent="0.55000000000000004">
      <c r="A808" s="372"/>
      <c r="B808" s="372"/>
      <c r="C808" s="372"/>
      <c r="D808" s="372"/>
      <c r="E808" s="375"/>
      <c r="F808" s="375"/>
      <c r="G808" s="375"/>
      <c r="H808" s="375"/>
      <c r="I808" s="375"/>
      <c r="J808" s="375"/>
      <c r="K808" s="376"/>
      <c r="L808" s="377"/>
      <c r="M808" s="377"/>
      <c r="N808" s="378"/>
    </row>
    <row r="809" spans="1:14" ht="21.75" customHeight="1" x14ac:dyDescent="0.55000000000000004">
      <c r="A809" s="372"/>
      <c r="B809" s="372"/>
      <c r="C809" s="372"/>
      <c r="D809" s="372"/>
      <c r="E809" s="375"/>
      <c r="F809" s="375"/>
      <c r="G809" s="375"/>
      <c r="H809" s="375"/>
      <c r="I809" s="375"/>
      <c r="J809" s="375"/>
      <c r="K809" s="376"/>
      <c r="L809" s="377"/>
      <c r="M809" s="377"/>
      <c r="N809" s="378"/>
    </row>
    <row r="810" spans="1:14" ht="21.75" customHeight="1" x14ac:dyDescent="0.55000000000000004">
      <c r="A810" s="372"/>
      <c r="B810" s="372"/>
      <c r="C810" s="372"/>
      <c r="D810" s="372"/>
      <c r="E810" s="375"/>
      <c r="F810" s="375"/>
      <c r="G810" s="375"/>
      <c r="H810" s="375"/>
      <c r="I810" s="375"/>
      <c r="J810" s="375"/>
      <c r="K810" s="376"/>
      <c r="L810" s="377"/>
      <c r="M810" s="377"/>
      <c r="N810" s="378"/>
    </row>
    <row r="811" spans="1:14" ht="21.75" customHeight="1" x14ac:dyDescent="0.55000000000000004">
      <c r="A811" s="372"/>
      <c r="B811" s="372"/>
      <c r="C811" s="372"/>
      <c r="D811" s="372"/>
      <c r="E811" s="375"/>
      <c r="F811" s="375"/>
      <c r="G811" s="375"/>
      <c r="H811" s="375"/>
      <c r="I811" s="375"/>
      <c r="J811" s="375"/>
      <c r="K811" s="376"/>
      <c r="L811" s="377"/>
      <c r="M811" s="377"/>
      <c r="N811" s="378"/>
    </row>
    <row r="812" spans="1:14" ht="21.75" customHeight="1" x14ac:dyDescent="0.55000000000000004">
      <c r="A812" s="372"/>
      <c r="B812" s="372"/>
      <c r="C812" s="372"/>
      <c r="D812" s="372"/>
      <c r="E812" s="375"/>
      <c r="F812" s="375"/>
      <c r="G812" s="375"/>
      <c r="H812" s="375"/>
      <c r="I812" s="375"/>
      <c r="J812" s="375"/>
      <c r="K812" s="376"/>
      <c r="L812" s="377"/>
      <c r="M812" s="377"/>
      <c r="N812" s="378"/>
    </row>
    <row r="813" spans="1:14" ht="21.75" customHeight="1" x14ac:dyDescent="0.55000000000000004">
      <c r="A813" s="372"/>
      <c r="B813" s="372"/>
      <c r="C813" s="372"/>
      <c r="D813" s="372"/>
      <c r="E813" s="375"/>
      <c r="F813" s="375"/>
      <c r="G813" s="375"/>
      <c r="H813" s="375"/>
      <c r="I813" s="375"/>
      <c r="J813" s="375"/>
      <c r="K813" s="376"/>
      <c r="L813" s="377"/>
      <c r="M813" s="377"/>
      <c r="N813" s="378"/>
    </row>
    <row r="814" spans="1:14" ht="21.75" customHeight="1" x14ac:dyDescent="0.55000000000000004">
      <c r="A814" s="372"/>
      <c r="B814" s="372"/>
      <c r="C814" s="372"/>
      <c r="D814" s="372"/>
      <c r="E814" s="375"/>
      <c r="F814" s="375"/>
      <c r="G814" s="375"/>
      <c r="H814" s="375"/>
      <c r="I814" s="375"/>
      <c r="J814" s="375"/>
      <c r="K814" s="376"/>
      <c r="L814" s="377"/>
      <c r="M814" s="377"/>
      <c r="N814" s="378"/>
    </row>
    <row r="815" spans="1:14" ht="21.75" customHeight="1" x14ac:dyDescent="0.55000000000000004">
      <c r="A815" s="372"/>
      <c r="B815" s="372"/>
      <c r="C815" s="372"/>
      <c r="D815" s="372"/>
      <c r="E815" s="375"/>
      <c r="F815" s="375"/>
      <c r="G815" s="375"/>
      <c r="H815" s="375"/>
      <c r="I815" s="375"/>
      <c r="J815" s="375"/>
      <c r="K815" s="376"/>
      <c r="L815" s="377"/>
      <c r="M815" s="377"/>
      <c r="N815" s="378"/>
    </row>
    <row r="816" spans="1:14" ht="21.75" customHeight="1" x14ac:dyDescent="0.55000000000000004">
      <c r="A816" s="372"/>
      <c r="B816" s="372"/>
      <c r="C816" s="372"/>
      <c r="D816" s="372"/>
      <c r="E816" s="375"/>
      <c r="F816" s="375"/>
      <c r="G816" s="375"/>
      <c r="H816" s="375"/>
      <c r="I816" s="375"/>
      <c r="J816" s="375"/>
      <c r="K816" s="376"/>
      <c r="L816" s="377"/>
      <c r="M816" s="377"/>
      <c r="N816" s="378"/>
    </row>
    <row r="817" spans="1:14" ht="21.75" customHeight="1" x14ac:dyDescent="0.55000000000000004">
      <c r="A817" s="372"/>
      <c r="B817" s="372"/>
      <c r="C817" s="372"/>
      <c r="D817" s="372"/>
      <c r="E817" s="375"/>
      <c r="F817" s="375"/>
      <c r="G817" s="375"/>
      <c r="H817" s="375"/>
      <c r="I817" s="375"/>
      <c r="J817" s="375"/>
      <c r="K817" s="376"/>
      <c r="L817" s="377"/>
      <c r="M817" s="377"/>
      <c r="N817" s="378"/>
    </row>
    <row r="818" spans="1:14" ht="21.75" customHeight="1" x14ac:dyDescent="0.55000000000000004">
      <c r="A818" s="372"/>
      <c r="B818" s="372"/>
      <c r="C818" s="372"/>
      <c r="D818" s="372"/>
      <c r="E818" s="375"/>
      <c r="F818" s="375"/>
      <c r="G818" s="375"/>
      <c r="H818" s="375"/>
      <c r="I818" s="375"/>
      <c r="J818" s="375"/>
      <c r="K818" s="376"/>
      <c r="L818" s="377"/>
      <c r="M818" s="377"/>
      <c r="N818" s="378"/>
    </row>
    <row r="819" spans="1:14" ht="21.75" customHeight="1" x14ac:dyDescent="0.55000000000000004">
      <c r="A819" s="372"/>
      <c r="B819" s="372"/>
      <c r="C819" s="372"/>
      <c r="D819" s="372"/>
      <c r="E819" s="375"/>
      <c r="F819" s="375"/>
      <c r="G819" s="375"/>
      <c r="H819" s="375"/>
      <c r="I819" s="375"/>
      <c r="J819" s="375"/>
      <c r="K819" s="376"/>
      <c r="L819" s="377"/>
      <c r="M819" s="377"/>
      <c r="N819" s="378"/>
    </row>
    <row r="820" spans="1:14" ht="21.75" customHeight="1" x14ac:dyDescent="0.55000000000000004">
      <c r="A820" s="372"/>
      <c r="B820" s="372"/>
      <c r="C820" s="372"/>
      <c r="D820" s="372"/>
      <c r="E820" s="375"/>
      <c r="F820" s="375"/>
      <c r="G820" s="375"/>
      <c r="H820" s="375"/>
      <c r="I820" s="375"/>
      <c r="J820" s="375"/>
      <c r="K820" s="376"/>
      <c r="L820" s="377"/>
      <c r="M820" s="377"/>
      <c r="N820" s="378"/>
    </row>
    <row r="821" spans="1:14" ht="21.75" customHeight="1" x14ac:dyDescent="0.55000000000000004">
      <c r="A821" s="372"/>
      <c r="B821" s="372"/>
      <c r="C821" s="372"/>
      <c r="D821" s="372"/>
      <c r="E821" s="375"/>
      <c r="F821" s="375"/>
      <c r="G821" s="375"/>
      <c r="H821" s="375"/>
      <c r="I821" s="375"/>
      <c r="J821" s="375"/>
      <c r="K821" s="376"/>
      <c r="L821" s="377"/>
      <c r="M821" s="377"/>
      <c r="N821" s="378"/>
    </row>
    <row r="822" spans="1:14" ht="21.75" customHeight="1" x14ac:dyDescent="0.55000000000000004">
      <c r="A822" s="372"/>
      <c r="B822" s="372"/>
      <c r="C822" s="372"/>
      <c r="D822" s="372"/>
      <c r="E822" s="375"/>
      <c r="F822" s="375"/>
      <c r="G822" s="375"/>
      <c r="H822" s="375"/>
      <c r="I822" s="375"/>
      <c r="J822" s="375"/>
      <c r="K822" s="376"/>
      <c r="L822" s="377"/>
      <c r="M822" s="377"/>
      <c r="N822" s="378"/>
    </row>
    <row r="823" spans="1:14" ht="21.75" customHeight="1" x14ac:dyDescent="0.55000000000000004">
      <c r="A823" s="372"/>
      <c r="B823" s="372"/>
      <c r="C823" s="372"/>
      <c r="D823" s="372"/>
      <c r="E823" s="375"/>
      <c r="F823" s="375"/>
      <c r="G823" s="375"/>
      <c r="H823" s="375"/>
      <c r="I823" s="375"/>
      <c r="J823" s="375"/>
      <c r="K823" s="376"/>
      <c r="L823" s="377"/>
      <c r="M823" s="377"/>
      <c r="N823" s="378"/>
    </row>
    <row r="824" spans="1:14" ht="21.75" customHeight="1" x14ac:dyDescent="0.55000000000000004">
      <c r="A824" s="372"/>
      <c r="B824" s="372"/>
      <c r="C824" s="372"/>
      <c r="D824" s="372"/>
      <c r="E824" s="375"/>
      <c r="F824" s="375"/>
      <c r="G824" s="375"/>
      <c r="H824" s="375"/>
      <c r="I824" s="375"/>
      <c r="J824" s="375"/>
      <c r="K824" s="376"/>
      <c r="L824" s="377"/>
      <c r="M824" s="377"/>
      <c r="N824" s="378"/>
    </row>
    <row r="825" spans="1:14" ht="21.75" customHeight="1" x14ac:dyDescent="0.55000000000000004">
      <c r="A825" s="372"/>
      <c r="B825" s="372"/>
      <c r="C825" s="372"/>
      <c r="D825" s="372"/>
      <c r="E825" s="375"/>
      <c r="F825" s="375"/>
      <c r="G825" s="375"/>
      <c r="H825" s="375"/>
      <c r="I825" s="375"/>
      <c r="J825" s="375"/>
      <c r="K825" s="376"/>
      <c r="L825" s="377"/>
      <c r="M825" s="377"/>
      <c r="N825" s="378"/>
    </row>
    <row r="826" spans="1:14" ht="21.75" customHeight="1" x14ac:dyDescent="0.55000000000000004">
      <c r="A826" s="372"/>
      <c r="B826" s="372"/>
      <c r="C826" s="372"/>
      <c r="D826" s="372"/>
      <c r="E826" s="375"/>
      <c r="F826" s="375"/>
      <c r="G826" s="375"/>
      <c r="H826" s="375"/>
      <c r="I826" s="375"/>
      <c r="J826" s="375"/>
      <c r="K826" s="376"/>
      <c r="L826" s="377"/>
      <c r="M826" s="377"/>
      <c r="N826" s="378"/>
    </row>
    <row r="827" spans="1:14" ht="21.75" customHeight="1" x14ac:dyDescent="0.55000000000000004">
      <c r="A827" s="372"/>
      <c r="B827" s="372"/>
      <c r="C827" s="372"/>
      <c r="D827" s="372"/>
      <c r="E827" s="375"/>
      <c r="F827" s="375"/>
      <c r="G827" s="375"/>
      <c r="H827" s="375"/>
      <c r="I827" s="375"/>
      <c r="J827" s="375"/>
      <c r="K827" s="376"/>
      <c r="L827" s="377"/>
      <c r="M827" s="377"/>
      <c r="N827" s="378"/>
    </row>
    <row r="828" spans="1:14" ht="21.75" customHeight="1" x14ac:dyDescent="0.55000000000000004">
      <c r="A828" s="372"/>
      <c r="B828" s="372"/>
      <c r="C828" s="372"/>
      <c r="D828" s="372"/>
      <c r="E828" s="375"/>
      <c r="F828" s="375"/>
      <c r="G828" s="375"/>
      <c r="H828" s="375"/>
      <c r="I828" s="375"/>
      <c r="J828" s="375"/>
      <c r="K828" s="376"/>
      <c r="L828" s="377"/>
      <c r="M828" s="377"/>
      <c r="N828" s="378"/>
    </row>
    <row r="829" spans="1:14" ht="21.75" customHeight="1" x14ac:dyDescent="0.55000000000000004">
      <c r="A829" s="372"/>
      <c r="B829" s="372"/>
      <c r="C829" s="372"/>
      <c r="D829" s="372"/>
      <c r="E829" s="375"/>
      <c r="F829" s="375"/>
      <c r="G829" s="375"/>
      <c r="H829" s="375"/>
      <c r="I829" s="375"/>
      <c r="J829" s="375"/>
      <c r="K829" s="376"/>
      <c r="L829" s="377"/>
      <c r="M829" s="377"/>
      <c r="N829" s="378"/>
    </row>
    <row r="830" spans="1:14" ht="21.75" customHeight="1" x14ac:dyDescent="0.55000000000000004">
      <c r="A830" s="372"/>
      <c r="B830" s="372"/>
      <c r="C830" s="372"/>
      <c r="D830" s="372"/>
      <c r="E830" s="375"/>
      <c r="F830" s="375"/>
      <c r="G830" s="375"/>
      <c r="H830" s="375"/>
      <c r="I830" s="375"/>
      <c r="J830" s="375"/>
      <c r="K830" s="376"/>
      <c r="L830" s="377"/>
      <c r="M830" s="377"/>
      <c r="N830" s="378"/>
    </row>
    <row r="831" spans="1:14" ht="21.75" customHeight="1" x14ac:dyDescent="0.55000000000000004">
      <c r="A831" s="372"/>
      <c r="B831" s="372"/>
      <c r="C831" s="372"/>
      <c r="D831" s="372"/>
      <c r="E831" s="375"/>
      <c r="F831" s="375"/>
      <c r="G831" s="375"/>
      <c r="H831" s="375"/>
      <c r="I831" s="375"/>
      <c r="J831" s="375"/>
      <c r="K831" s="376"/>
      <c r="L831" s="377"/>
      <c r="M831" s="377"/>
      <c r="N831" s="378"/>
    </row>
    <row r="832" spans="1:14" ht="21.75" customHeight="1" x14ac:dyDescent="0.55000000000000004">
      <c r="A832" s="372"/>
      <c r="B832" s="372"/>
      <c r="C832" s="372"/>
      <c r="D832" s="372"/>
      <c r="E832" s="375"/>
      <c r="F832" s="375"/>
      <c r="G832" s="375"/>
      <c r="H832" s="375"/>
      <c r="I832" s="375"/>
      <c r="J832" s="375"/>
      <c r="K832" s="376"/>
      <c r="L832" s="377"/>
      <c r="M832" s="377"/>
      <c r="N832" s="378"/>
    </row>
    <row r="833" spans="1:14" ht="21.75" customHeight="1" x14ac:dyDescent="0.55000000000000004">
      <c r="A833" s="372"/>
      <c r="B833" s="372"/>
      <c r="C833" s="372"/>
      <c r="D833" s="372"/>
      <c r="E833" s="375"/>
      <c r="F833" s="375"/>
      <c r="G833" s="375"/>
      <c r="H833" s="375"/>
      <c r="I833" s="375"/>
      <c r="J833" s="375"/>
      <c r="K833" s="376"/>
      <c r="L833" s="377"/>
      <c r="M833" s="377"/>
      <c r="N833" s="378"/>
    </row>
    <row r="834" spans="1:14" ht="21.75" customHeight="1" x14ac:dyDescent="0.55000000000000004">
      <c r="A834" s="372"/>
      <c r="B834" s="372"/>
      <c r="C834" s="372"/>
      <c r="D834" s="372"/>
      <c r="E834" s="375"/>
      <c r="F834" s="375"/>
      <c r="G834" s="375"/>
      <c r="H834" s="375"/>
      <c r="I834" s="375"/>
      <c r="J834" s="375"/>
      <c r="K834" s="376"/>
      <c r="L834" s="377"/>
      <c r="M834" s="377"/>
      <c r="N834" s="378"/>
    </row>
    <row r="835" spans="1:14" ht="21.75" customHeight="1" x14ac:dyDescent="0.55000000000000004">
      <c r="A835" s="372"/>
      <c r="B835" s="372"/>
      <c r="C835" s="372"/>
      <c r="D835" s="372"/>
      <c r="E835" s="375"/>
      <c r="F835" s="375"/>
      <c r="G835" s="375"/>
      <c r="H835" s="375"/>
      <c r="I835" s="375"/>
      <c r="J835" s="375"/>
      <c r="K835" s="376"/>
      <c r="L835" s="377"/>
      <c r="M835" s="377"/>
      <c r="N835" s="378"/>
    </row>
    <row r="836" spans="1:14" ht="21.75" customHeight="1" x14ac:dyDescent="0.55000000000000004">
      <c r="A836" s="372"/>
      <c r="B836" s="372"/>
      <c r="C836" s="372"/>
      <c r="D836" s="372"/>
      <c r="E836" s="375"/>
      <c r="F836" s="375"/>
      <c r="G836" s="375"/>
      <c r="H836" s="375"/>
      <c r="I836" s="375"/>
      <c r="J836" s="375"/>
      <c r="K836" s="376"/>
      <c r="L836" s="377"/>
      <c r="M836" s="377"/>
      <c r="N836" s="378"/>
    </row>
    <row r="837" spans="1:14" ht="21.75" customHeight="1" x14ac:dyDescent="0.55000000000000004">
      <c r="A837" s="372"/>
      <c r="B837" s="372"/>
      <c r="C837" s="372"/>
      <c r="D837" s="372"/>
      <c r="E837" s="375"/>
      <c r="F837" s="375"/>
      <c r="G837" s="375"/>
      <c r="H837" s="375"/>
      <c r="I837" s="375"/>
      <c r="J837" s="375"/>
      <c r="K837" s="376"/>
      <c r="L837" s="377"/>
      <c r="M837" s="377"/>
      <c r="N837" s="378"/>
    </row>
    <row r="838" spans="1:14" ht="21.75" customHeight="1" x14ac:dyDescent="0.55000000000000004">
      <c r="A838" s="372"/>
      <c r="B838" s="372"/>
      <c r="C838" s="372"/>
      <c r="D838" s="372"/>
      <c r="E838" s="375"/>
      <c r="F838" s="375"/>
      <c r="G838" s="375"/>
      <c r="H838" s="375"/>
      <c r="I838" s="375"/>
      <c r="J838" s="375"/>
      <c r="K838" s="376"/>
      <c r="L838" s="377"/>
      <c r="M838" s="377"/>
      <c r="N838" s="378"/>
    </row>
    <row r="839" spans="1:14" ht="21.75" customHeight="1" x14ac:dyDescent="0.55000000000000004">
      <c r="A839" s="372"/>
      <c r="B839" s="372"/>
      <c r="C839" s="372"/>
      <c r="D839" s="372"/>
      <c r="E839" s="375"/>
      <c r="F839" s="375"/>
      <c r="G839" s="375"/>
      <c r="H839" s="375"/>
      <c r="I839" s="375"/>
      <c r="J839" s="375"/>
      <c r="K839" s="376"/>
      <c r="L839" s="377"/>
      <c r="M839" s="377"/>
      <c r="N839" s="378"/>
    </row>
    <row r="840" spans="1:14" ht="21.75" customHeight="1" x14ac:dyDescent="0.55000000000000004">
      <c r="A840" s="372"/>
      <c r="B840" s="372"/>
      <c r="C840" s="372"/>
      <c r="D840" s="372"/>
      <c r="E840" s="375"/>
      <c r="F840" s="375"/>
      <c r="G840" s="375"/>
      <c r="H840" s="375"/>
      <c r="I840" s="375"/>
      <c r="J840" s="375"/>
      <c r="K840" s="376"/>
      <c r="L840" s="377"/>
      <c r="M840" s="377"/>
      <c r="N840" s="378"/>
    </row>
    <row r="841" spans="1:14" ht="21.75" customHeight="1" x14ac:dyDescent="0.55000000000000004">
      <c r="A841" s="372"/>
      <c r="B841" s="372"/>
      <c r="C841" s="372"/>
      <c r="D841" s="372"/>
      <c r="E841" s="375"/>
      <c r="F841" s="375"/>
      <c r="G841" s="375"/>
      <c r="H841" s="375"/>
      <c r="I841" s="375"/>
      <c r="J841" s="375"/>
      <c r="K841" s="376"/>
      <c r="L841" s="377"/>
      <c r="M841" s="377"/>
      <c r="N841" s="378"/>
    </row>
    <row r="842" spans="1:14" ht="21.75" customHeight="1" x14ac:dyDescent="0.55000000000000004">
      <c r="A842" s="372"/>
      <c r="B842" s="372"/>
      <c r="C842" s="372"/>
      <c r="D842" s="372"/>
      <c r="E842" s="375"/>
      <c r="F842" s="375"/>
      <c r="G842" s="375"/>
      <c r="H842" s="375"/>
      <c r="I842" s="375"/>
      <c r="J842" s="375"/>
      <c r="K842" s="376"/>
      <c r="L842" s="377"/>
      <c r="M842" s="377"/>
      <c r="N842" s="378"/>
    </row>
    <row r="843" spans="1:14" ht="21.75" customHeight="1" x14ac:dyDescent="0.55000000000000004">
      <c r="A843" s="372"/>
      <c r="B843" s="372"/>
      <c r="C843" s="372"/>
      <c r="D843" s="372"/>
      <c r="E843" s="375"/>
      <c r="F843" s="375"/>
      <c r="G843" s="375"/>
      <c r="H843" s="375"/>
      <c r="I843" s="375"/>
      <c r="J843" s="375"/>
      <c r="K843" s="376"/>
      <c r="L843" s="377"/>
      <c r="M843" s="377"/>
      <c r="N843" s="378"/>
    </row>
    <row r="844" spans="1:14" ht="21.75" customHeight="1" x14ac:dyDescent="0.55000000000000004">
      <c r="A844" s="372"/>
      <c r="B844" s="372"/>
      <c r="C844" s="372"/>
      <c r="D844" s="372"/>
      <c r="E844" s="375"/>
      <c r="F844" s="375"/>
      <c r="G844" s="375"/>
      <c r="H844" s="375"/>
      <c r="I844" s="375"/>
      <c r="J844" s="375"/>
      <c r="K844" s="376"/>
      <c r="L844" s="377"/>
      <c r="M844" s="377"/>
      <c r="N844" s="378"/>
    </row>
    <row r="845" spans="1:14" ht="21.75" customHeight="1" x14ac:dyDescent="0.55000000000000004">
      <c r="A845" s="372"/>
      <c r="B845" s="372"/>
      <c r="C845" s="372"/>
      <c r="D845" s="372"/>
      <c r="E845" s="375"/>
      <c r="F845" s="375"/>
      <c r="G845" s="375"/>
      <c r="H845" s="375"/>
      <c r="I845" s="375"/>
      <c r="J845" s="375"/>
      <c r="K845" s="376"/>
      <c r="L845" s="377"/>
      <c r="M845" s="377"/>
      <c r="N845" s="378"/>
    </row>
    <row r="846" spans="1:14" ht="21.75" customHeight="1" x14ac:dyDescent="0.55000000000000004">
      <c r="A846" s="372"/>
      <c r="B846" s="372"/>
      <c r="C846" s="372"/>
      <c r="D846" s="372"/>
      <c r="E846" s="375"/>
      <c r="F846" s="375"/>
      <c r="G846" s="375"/>
      <c r="H846" s="375"/>
      <c r="I846" s="375"/>
      <c r="J846" s="375"/>
      <c r="K846" s="376"/>
      <c r="L846" s="377"/>
      <c r="M846" s="377"/>
      <c r="N846" s="378"/>
    </row>
    <row r="847" spans="1:14" ht="21.75" customHeight="1" x14ac:dyDescent="0.55000000000000004">
      <c r="A847" s="372"/>
      <c r="B847" s="372"/>
      <c r="C847" s="372"/>
      <c r="D847" s="372"/>
      <c r="E847" s="375"/>
      <c r="F847" s="375"/>
      <c r="G847" s="375"/>
      <c r="H847" s="375"/>
      <c r="I847" s="375"/>
      <c r="J847" s="375"/>
      <c r="K847" s="376"/>
      <c r="L847" s="377"/>
      <c r="M847" s="377"/>
      <c r="N847" s="378"/>
    </row>
    <row r="848" spans="1:14" ht="21.75" customHeight="1" x14ac:dyDescent="0.55000000000000004">
      <c r="A848" s="372"/>
      <c r="B848" s="372"/>
      <c r="C848" s="372"/>
      <c r="D848" s="372"/>
      <c r="E848" s="375"/>
      <c r="F848" s="375"/>
      <c r="G848" s="375"/>
      <c r="H848" s="375"/>
      <c r="I848" s="375"/>
      <c r="J848" s="375"/>
      <c r="K848" s="376"/>
      <c r="L848" s="377"/>
      <c r="M848" s="377"/>
      <c r="N848" s="378"/>
    </row>
    <row r="849" spans="1:14" ht="21.75" customHeight="1" x14ac:dyDescent="0.55000000000000004">
      <c r="A849" s="372"/>
      <c r="B849" s="372"/>
      <c r="C849" s="372"/>
      <c r="D849" s="372"/>
      <c r="E849" s="375"/>
      <c r="F849" s="375"/>
      <c r="G849" s="375"/>
      <c r="H849" s="375"/>
      <c r="I849" s="375"/>
      <c r="J849" s="375"/>
      <c r="K849" s="376"/>
      <c r="L849" s="377"/>
      <c r="M849" s="377"/>
      <c r="N849" s="378"/>
    </row>
    <row r="850" spans="1:14" ht="21.75" customHeight="1" x14ac:dyDescent="0.55000000000000004">
      <c r="A850" s="372"/>
      <c r="B850" s="372"/>
      <c r="C850" s="372"/>
      <c r="D850" s="372"/>
      <c r="E850" s="375"/>
      <c r="F850" s="375"/>
      <c r="G850" s="375"/>
      <c r="H850" s="375"/>
      <c r="I850" s="375"/>
      <c r="J850" s="375"/>
      <c r="K850" s="376"/>
      <c r="L850" s="377"/>
      <c r="M850" s="377"/>
      <c r="N850" s="378"/>
    </row>
    <row r="851" spans="1:14" ht="21.75" customHeight="1" x14ac:dyDescent="0.55000000000000004">
      <c r="A851" s="372"/>
      <c r="B851" s="372"/>
      <c r="C851" s="372"/>
      <c r="D851" s="372"/>
      <c r="E851" s="375"/>
      <c r="F851" s="375"/>
      <c r="G851" s="375"/>
      <c r="H851" s="375"/>
      <c r="I851" s="375"/>
      <c r="J851" s="375"/>
      <c r="K851" s="376"/>
      <c r="L851" s="377"/>
      <c r="M851" s="377"/>
      <c r="N851" s="378"/>
    </row>
    <row r="852" spans="1:14" ht="21.75" customHeight="1" x14ac:dyDescent="0.55000000000000004">
      <c r="A852" s="372"/>
      <c r="B852" s="372"/>
      <c r="C852" s="372"/>
      <c r="D852" s="372"/>
      <c r="E852" s="375"/>
      <c r="F852" s="375"/>
      <c r="G852" s="375"/>
      <c r="H852" s="375"/>
      <c r="I852" s="375"/>
      <c r="J852" s="375"/>
      <c r="K852" s="376"/>
      <c r="L852" s="377"/>
      <c r="M852" s="377"/>
      <c r="N852" s="378"/>
    </row>
    <row r="853" spans="1:14" ht="21.75" customHeight="1" x14ac:dyDescent="0.55000000000000004">
      <c r="A853" s="372"/>
      <c r="B853" s="372"/>
      <c r="C853" s="372"/>
      <c r="D853" s="372"/>
      <c r="E853" s="375"/>
      <c r="F853" s="375"/>
      <c r="G853" s="375"/>
      <c r="H853" s="375"/>
      <c r="I853" s="375"/>
      <c r="J853" s="375"/>
      <c r="K853" s="376"/>
      <c r="L853" s="377"/>
      <c r="M853" s="377"/>
      <c r="N853" s="378"/>
    </row>
    <row r="854" spans="1:14" ht="21.75" customHeight="1" x14ac:dyDescent="0.55000000000000004">
      <c r="A854" s="372"/>
      <c r="B854" s="372"/>
      <c r="C854" s="372"/>
      <c r="D854" s="372"/>
      <c r="E854" s="375"/>
      <c r="F854" s="375"/>
      <c r="G854" s="375"/>
      <c r="H854" s="375"/>
      <c r="I854" s="375"/>
      <c r="J854" s="375"/>
      <c r="K854" s="376"/>
      <c r="L854" s="377"/>
      <c r="M854" s="377"/>
      <c r="N854" s="378"/>
    </row>
    <row r="855" spans="1:14" ht="21.75" customHeight="1" x14ac:dyDescent="0.55000000000000004">
      <c r="A855" s="372"/>
      <c r="B855" s="372"/>
      <c r="C855" s="372"/>
      <c r="D855" s="372"/>
      <c r="E855" s="375"/>
      <c r="F855" s="375"/>
      <c r="G855" s="375"/>
      <c r="H855" s="375"/>
      <c r="I855" s="375"/>
      <c r="J855" s="375"/>
      <c r="K855" s="376"/>
      <c r="L855" s="377"/>
      <c r="M855" s="377"/>
      <c r="N855" s="378"/>
    </row>
    <row r="856" spans="1:14" ht="21.75" customHeight="1" x14ac:dyDescent="0.55000000000000004">
      <c r="A856" s="372"/>
      <c r="B856" s="372"/>
      <c r="C856" s="372"/>
      <c r="D856" s="372"/>
      <c r="E856" s="375"/>
      <c r="F856" s="375"/>
      <c r="G856" s="375"/>
      <c r="H856" s="375"/>
      <c r="I856" s="375"/>
      <c r="J856" s="375"/>
      <c r="K856" s="376"/>
      <c r="L856" s="377"/>
      <c r="M856" s="377"/>
      <c r="N856" s="378"/>
    </row>
    <row r="857" spans="1:14" ht="21.75" customHeight="1" x14ac:dyDescent="0.55000000000000004">
      <c r="A857" s="372"/>
      <c r="B857" s="372"/>
      <c r="C857" s="372"/>
      <c r="D857" s="372"/>
      <c r="E857" s="375"/>
      <c r="F857" s="375"/>
      <c r="G857" s="375"/>
      <c r="H857" s="375"/>
      <c r="I857" s="375"/>
      <c r="J857" s="375"/>
      <c r="K857" s="376"/>
      <c r="L857" s="377"/>
      <c r="M857" s="377"/>
      <c r="N857" s="378"/>
    </row>
    <row r="858" spans="1:14" ht="21.75" customHeight="1" x14ac:dyDescent="0.55000000000000004">
      <c r="A858" s="372"/>
      <c r="B858" s="372"/>
      <c r="C858" s="372"/>
      <c r="D858" s="372"/>
      <c r="E858" s="375"/>
      <c r="F858" s="375"/>
      <c r="G858" s="375"/>
      <c r="H858" s="375"/>
      <c r="I858" s="375"/>
      <c r="J858" s="375"/>
      <c r="K858" s="376"/>
      <c r="L858" s="377"/>
      <c r="M858" s="377"/>
      <c r="N858" s="378"/>
    </row>
    <row r="859" spans="1:14" ht="21.75" customHeight="1" x14ac:dyDescent="0.55000000000000004">
      <c r="A859" s="372"/>
      <c r="B859" s="372"/>
      <c r="C859" s="372"/>
      <c r="D859" s="372"/>
      <c r="E859" s="375"/>
      <c r="F859" s="375"/>
      <c r="G859" s="375"/>
      <c r="H859" s="375"/>
      <c r="I859" s="375"/>
      <c r="J859" s="375"/>
      <c r="K859" s="376"/>
      <c r="L859" s="377"/>
      <c r="M859" s="377"/>
      <c r="N859" s="378"/>
    </row>
    <row r="860" spans="1:14" ht="21.75" customHeight="1" x14ac:dyDescent="0.55000000000000004">
      <c r="A860" s="372"/>
      <c r="B860" s="372"/>
      <c r="C860" s="372"/>
      <c r="D860" s="372"/>
      <c r="E860" s="375"/>
      <c r="F860" s="375"/>
      <c r="G860" s="375"/>
      <c r="H860" s="375"/>
      <c r="I860" s="375"/>
      <c r="J860" s="375"/>
      <c r="K860" s="376"/>
      <c r="L860" s="377"/>
      <c r="M860" s="377"/>
      <c r="N860" s="378"/>
    </row>
    <row r="861" spans="1:14" ht="21.75" customHeight="1" x14ac:dyDescent="0.55000000000000004">
      <c r="A861" s="372"/>
      <c r="B861" s="372"/>
      <c r="C861" s="372"/>
      <c r="D861" s="372"/>
      <c r="E861" s="375"/>
      <c r="F861" s="375"/>
      <c r="G861" s="375"/>
      <c r="H861" s="375"/>
      <c r="I861" s="375"/>
      <c r="J861" s="375"/>
      <c r="K861" s="376"/>
      <c r="L861" s="377"/>
      <c r="M861" s="377"/>
      <c r="N861" s="378"/>
    </row>
    <row r="862" spans="1:14" ht="21.75" customHeight="1" x14ac:dyDescent="0.55000000000000004">
      <c r="A862" s="372"/>
      <c r="B862" s="372"/>
      <c r="C862" s="372"/>
      <c r="D862" s="372"/>
      <c r="E862" s="375"/>
      <c r="F862" s="375"/>
      <c r="G862" s="375"/>
      <c r="H862" s="375"/>
      <c r="I862" s="375"/>
      <c r="J862" s="375"/>
      <c r="K862" s="376"/>
      <c r="L862" s="377"/>
      <c r="M862" s="377"/>
      <c r="N862" s="378"/>
    </row>
    <row r="863" spans="1:14" ht="21.75" customHeight="1" x14ac:dyDescent="0.55000000000000004">
      <c r="A863" s="372"/>
      <c r="B863" s="372"/>
      <c r="C863" s="372"/>
      <c r="D863" s="372"/>
      <c r="E863" s="375"/>
      <c r="F863" s="375"/>
      <c r="G863" s="375"/>
      <c r="H863" s="375"/>
      <c r="I863" s="375"/>
      <c r="J863" s="375"/>
      <c r="K863" s="376"/>
      <c r="L863" s="377"/>
      <c r="M863" s="377"/>
      <c r="N863" s="378"/>
    </row>
    <row r="864" spans="1:14" ht="21.75" customHeight="1" x14ac:dyDescent="0.55000000000000004">
      <c r="A864" s="372"/>
      <c r="B864" s="372"/>
      <c r="C864" s="372"/>
      <c r="D864" s="372"/>
      <c r="E864" s="375"/>
      <c r="F864" s="375"/>
      <c r="G864" s="375"/>
      <c r="H864" s="375"/>
      <c r="I864" s="375"/>
      <c r="J864" s="375"/>
      <c r="K864" s="376"/>
      <c r="L864" s="377"/>
      <c r="M864" s="377"/>
      <c r="N864" s="378"/>
    </row>
    <row r="865" spans="1:14" ht="21.75" customHeight="1" x14ac:dyDescent="0.55000000000000004">
      <c r="A865" s="372"/>
      <c r="B865" s="372"/>
      <c r="C865" s="372"/>
      <c r="D865" s="372"/>
      <c r="E865" s="375"/>
      <c r="F865" s="375"/>
      <c r="G865" s="375"/>
      <c r="H865" s="375"/>
      <c r="I865" s="375"/>
      <c r="J865" s="375"/>
      <c r="K865" s="376"/>
      <c r="L865" s="377"/>
      <c r="M865" s="377"/>
      <c r="N865" s="378"/>
    </row>
    <row r="866" spans="1:14" ht="21.75" customHeight="1" x14ac:dyDescent="0.55000000000000004">
      <c r="A866" s="372"/>
      <c r="B866" s="372"/>
      <c r="C866" s="372"/>
      <c r="D866" s="372"/>
      <c r="E866" s="375"/>
      <c r="F866" s="375"/>
      <c r="G866" s="375"/>
      <c r="H866" s="375"/>
      <c r="I866" s="375"/>
      <c r="J866" s="375"/>
      <c r="K866" s="376"/>
      <c r="L866" s="377"/>
      <c r="M866" s="377"/>
      <c r="N866" s="378"/>
    </row>
    <row r="867" spans="1:14" ht="21.75" customHeight="1" x14ac:dyDescent="0.55000000000000004">
      <c r="A867" s="372"/>
      <c r="B867" s="372"/>
      <c r="C867" s="372"/>
      <c r="D867" s="372"/>
      <c r="E867" s="375"/>
      <c r="F867" s="375"/>
      <c r="G867" s="375"/>
      <c r="H867" s="375"/>
      <c r="I867" s="375"/>
      <c r="J867" s="375"/>
      <c r="K867" s="376"/>
      <c r="L867" s="377"/>
      <c r="M867" s="377"/>
      <c r="N867" s="378"/>
    </row>
    <row r="868" spans="1:14" ht="21.75" customHeight="1" x14ac:dyDescent="0.55000000000000004">
      <c r="A868" s="372"/>
      <c r="B868" s="372"/>
      <c r="C868" s="372"/>
      <c r="D868" s="372"/>
      <c r="E868" s="375"/>
      <c r="F868" s="375"/>
      <c r="G868" s="375"/>
      <c r="H868" s="375"/>
      <c r="I868" s="375"/>
      <c r="J868" s="375"/>
      <c r="K868" s="376"/>
      <c r="L868" s="377"/>
      <c r="M868" s="377"/>
      <c r="N868" s="378"/>
    </row>
    <row r="869" spans="1:14" ht="21.75" customHeight="1" x14ac:dyDescent="0.55000000000000004">
      <c r="A869" s="372"/>
      <c r="B869" s="372"/>
      <c r="C869" s="372"/>
      <c r="D869" s="372"/>
      <c r="E869" s="375"/>
      <c r="F869" s="375"/>
      <c r="G869" s="375"/>
      <c r="H869" s="375"/>
      <c r="I869" s="375"/>
      <c r="J869" s="375"/>
      <c r="K869" s="376"/>
      <c r="L869" s="377"/>
      <c r="M869" s="377"/>
      <c r="N869" s="378"/>
    </row>
    <row r="870" spans="1:14" ht="21.75" customHeight="1" x14ac:dyDescent="0.55000000000000004">
      <c r="A870" s="372"/>
      <c r="B870" s="372"/>
      <c r="C870" s="372"/>
      <c r="D870" s="372"/>
      <c r="E870" s="375"/>
      <c r="F870" s="375"/>
      <c r="G870" s="375"/>
      <c r="H870" s="375"/>
      <c r="I870" s="375"/>
      <c r="J870" s="375"/>
      <c r="K870" s="376"/>
      <c r="L870" s="377"/>
      <c r="M870" s="377"/>
      <c r="N870" s="378"/>
    </row>
    <row r="871" spans="1:14" ht="21.75" customHeight="1" x14ac:dyDescent="0.55000000000000004">
      <c r="A871" s="372"/>
      <c r="B871" s="372"/>
      <c r="C871" s="372"/>
      <c r="D871" s="372"/>
      <c r="E871" s="375"/>
      <c r="F871" s="375"/>
      <c r="G871" s="375"/>
      <c r="H871" s="375"/>
      <c r="I871" s="375"/>
      <c r="J871" s="375"/>
      <c r="K871" s="376"/>
      <c r="L871" s="377"/>
      <c r="M871" s="377"/>
      <c r="N871" s="378"/>
    </row>
    <row r="872" spans="1:14" ht="21.75" customHeight="1" x14ac:dyDescent="0.55000000000000004">
      <c r="A872" s="372"/>
      <c r="B872" s="372"/>
      <c r="C872" s="372"/>
      <c r="D872" s="372"/>
      <c r="E872" s="375"/>
      <c r="F872" s="375"/>
      <c r="G872" s="375"/>
      <c r="H872" s="375"/>
      <c r="I872" s="375"/>
      <c r="J872" s="375"/>
      <c r="K872" s="376"/>
      <c r="L872" s="377"/>
      <c r="M872" s="377"/>
      <c r="N872" s="378"/>
    </row>
    <row r="873" spans="1:14" ht="21.75" customHeight="1" x14ac:dyDescent="0.55000000000000004">
      <c r="A873" s="372"/>
      <c r="B873" s="372"/>
      <c r="C873" s="372"/>
      <c r="D873" s="372"/>
      <c r="E873" s="375"/>
      <c r="F873" s="375"/>
      <c r="G873" s="375"/>
      <c r="H873" s="375"/>
      <c r="I873" s="375"/>
      <c r="J873" s="375"/>
      <c r="K873" s="376"/>
      <c r="L873" s="377"/>
      <c r="M873" s="377"/>
      <c r="N873" s="378"/>
    </row>
    <row r="874" spans="1:14" ht="21.75" customHeight="1" x14ac:dyDescent="0.55000000000000004">
      <c r="A874" s="372"/>
      <c r="B874" s="372"/>
      <c r="C874" s="372"/>
      <c r="D874" s="372"/>
      <c r="E874" s="375"/>
      <c r="F874" s="375"/>
      <c r="G874" s="375"/>
      <c r="H874" s="375"/>
      <c r="I874" s="375"/>
      <c r="J874" s="375"/>
      <c r="K874" s="376"/>
      <c r="L874" s="377"/>
      <c r="M874" s="377"/>
      <c r="N874" s="378"/>
    </row>
    <row r="875" spans="1:14" ht="21.75" customHeight="1" x14ac:dyDescent="0.55000000000000004">
      <c r="A875" s="372"/>
      <c r="B875" s="372"/>
      <c r="C875" s="372"/>
      <c r="D875" s="372"/>
      <c r="E875" s="375"/>
      <c r="F875" s="375"/>
      <c r="G875" s="375"/>
      <c r="H875" s="375"/>
      <c r="I875" s="375"/>
      <c r="J875" s="375"/>
      <c r="K875" s="376"/>
      <c r="L875" s="377"/>
      <c r="M875" s="377"/>
      <c r="N875" s="378"/>
    </row>
    <row r="876" spans="1:14" ht="21.75" customHeight="1" x14ac:dyDescent="0.55000000000000004">
      <c r="A876" s="372"/>
      <c r="B876" s="372"/>
      <c r="C876" s="372"/>
      <c r="D876" s="372"/>
      <c r="E876" s="375"/>
      <c r="F876" s="375"/>
      <c r="G876" s="375"/>
      <c r="H876" s="375"/>
      <c r="I876" s="375"/>
      <c r="J876" s="375"/>
      <c r="K876" s="376"/>
      <c r="L876" s="377"/>
      <c r="M876" s="377"/>
      <c r="N876" s="378"/>
    </row>
    <row r="877" spans="1:14" ht="21.75" customHeight="1" x14ac:dyDescent="0.55000000000000004">
      <c r="A877" s="372"/>
      <c r="B877" s="372"/>
      <c r="C877" s="372"/>
      <c r="D877" s="372"/>
      <c r="E877" s="375"/>
      <c r="F877" s="375"/>
      <c r="G877" s="375"/>
      <c r="H877" s="375"/>
      <c r="I877" s="375"/>
      <c r="J877" s="375"/>
      <c r="K877" s="376"/>
      <c r="L877" s="377"/>
      <c r="M877" s="377"/>
      <c r="N877" s="378"/>
    </row>
    <row r="878" spans="1:14" ht="21.75" customHeight="1" x14ac:dyDescent="0.55000000000000004">
      <c r="A878" s="372"/>
      <c r="B878" s="372"/>
      <c r="C878" s="372"/>
      <c r="D878" s="372"/>
      <c r="E878" s="375"/>
      <c r="F878" s="375"/>
      <c r="G878" s="375"/>
      <c r="H878" s="375"/>
      <c r="I878" s="375"/>
      <c r="J878" s="375"/>
      <c r="K878" s="376"/>
      <c r="L878" s="377"/>
      <c r="M878" s="377"/>
      <c r="N878" s="378"/>
    </row>
    <row r="879" spans="1:14" ht="21.75" customHeight="1" x14ac:dyDescent="0.55000000000000004">
      <c r="A879" s="372"/>
      <c r="B879" s="372"/>
      <c r="C879" s="372"/>
      <c r="D879" s="372"/>
      <c r="E879" s="375"/>
      <c r="F879" s="375"/>
      <c r="G879" s="375"/>
      <c r="H879" s="375"/>
      <c r="I879" s="375"/>
      <c r="J879" s="375"/>
      <c r="K879" s="376"/>
      <c r="L879" s="377"/>
      <c r="M879" s="377"/>
      <c r="N879" s="378"/>
    </row>
    <row r="880" spans="1:14" ht="21.75" customHeight="1" x14ac:dyDescent="0.55000000000000004">
      <c r="A880" s="372"/>
      <c r="B880" s="372"/>
      <c r="C880" s="372"/>
      <c r="D880" s="372"/>
      <c r="E880" s="375"/>
      <c r="F880" s="375"/>
      <c r="G880" s="375"/>
      <c r="H880" s="375"/>
      <c r="I880" s="375"/>
      <c r="J880" s="375"/>
      <c r="K880" s="376"/>
      <c r="L880" s="377"/>
      <c r="M880" s="377"/>
      <c r="N880" s="378"/>
    </row>
    <row r="881" spans="1:14" ht="21.75" customHeight="1" x14ac:dyDescent="0.55000000000000004">
      <c r="A881" s="372"/>
      <c r="B881" s="372"/>
      <c r="C881" s="372"/>
      <c r="D881" s="372"/>
      <c r="E881" s="375"/>
      <c r="F881" s="375"/>
      <c r="G881" s="375"/>
      <c r="H881" s="375"/>
      <c r="I881" s="375"/>
      <c r="J881" s="375"/>
      <c r="K881" s="376"/>
      <c r="L881" s="377"/>
      <c r="M881" s="377"/>
      <c r="N881" s="378"/>
    </row>
    <row r="882" spans="1:14" ht="21.75" customHeight="1" x14ac:dyDescent="0.55000000000000004">
      <c r="A882" s="372"/>
      <c r="B882" s="372"/>
      <c r="C882" s="372"/>
      <c r="D882" s="372"/>
      <c r="E882" s="375"/>
      <c r="F882" s="375"/>
      <c r="G882" s="375"/>
      <c r="H882" s="375"/>
      <c r="I882" s="375"/>
      <c r="J882" s="375"/>
      <c r="K882" s="376"/>
      <c r="L882" s="377"/>
      <c r="M882" s="377"/>
      <c r="N882" s="378"/>
    </row>
    <row r="883" spans="1:14" ht="21.75" customHeight="1" x14ac:dyDescent="0.55000000000000004">
      <c r="A883" s="372"/>
      <c r="B883" s="372"/>
      <c r="C883" s="372"/>
      <c r="D883" s="372"/>
      <c r="E883" s="375"/>
      <c r="F883" s="375"/>
      <c r="G883" s="375"/>
      <c r="H883" s="375"/>
      <c r="I883" s="375"/>
      <c r="J883" s="375"/>
      <c r="K883" s="376"/>
      <c r="L883" s="377"/>
      <c r="M883" s="377"/>
      <c r="N883" s="378"/>
    </row>
    <row r="884" spans="1:14" ht="21.75" customHeight="1" x14ac:dyDescent="0.55000000000000004">
      <c r="A884" s="372"/>
      <c r="B884" s="372"/>
      <c r="C884" s="372"/>
      <c r="D884" s="372"/>
      <c r="E884" s="375"/>
      <c r="F884" s="375"/>
      <c r="G884" s="375"/>
      <c r="H884" s="375"/>
      <c r="I884" s="375"/>
      <c r="J884" s="375"/>
      <c r="K884" s="376"/>
      <c r="L884" s="377"/>
      <c r="M884" s="377"/>
      <c r="N884" s="378"/>
    </row>
    <row r="885" spans="1:14" ht="21.75" customHeight="1" x14ac:dyDescent="0.55000000000000004">
      <c r="A885" s="372"/>
      <c r="B885" s="372"/>
      <c r="C885" s="372"/>
      <c r="D885" s="372"/>
      <c r="E885" s="375"/>
      <c r="F885" s="375"/>
      <c r="G885" s="375"/>
      <c r="H885" s="375"/>
      <c r="I885" s="375"/>
      <c r="J885" s="375"/>
      <c r="K885" s="376"/>
      <c r="L885" s="377"/>
      <c r="M885" s="377"/>
      <c r="N885" s="378"/>
    </row>
    <row r="886" spans="1:14" ht="21.75" customHeight="1" x14ac:dyDescent="0.55000000000000004">
      <c r="A886" s="372"/>
      <c r="B886" s="372"/>
      <c r="C886" s="372"/>
      <c r="D886" s="372"/>
      <c r="E886" s="375"/>
      <c r="F886" s="375"/>
      <c r="G886" s="375"/>
      <c r="H886" s="375"/>
      <c r="I886" s="375"/>
      <c r="J886" s="375"/>
      <c r="K886" s="376"/>
      <c r="L886" s="377"/>
      <c r="M886" s="377"/>
      <c r="N886" s="378"/>
    </row>
    <row r="887" spans="1:14" ht="21.75" customHeight="1" x14ac:dyDescent="0.55000000000000004">
      <c r="A887" s="372"/>
      <c r="B887" s="372"/>
      <c r="C887" s="372"/>
      <c r="D887" s="372"/>
      <c r="E887" s="375"/>
      <c r="F887" s="375"/>
      <c r="G887" s="375"/>
      <c r="H887" s="375"/>
      <c r="I887" s="375"/>
      <c r="J887" s="375"/>
      <c r="K887" s="376"/>
      <c r="L887" s="377"/>
      <c r="M887" s="377"/>
      <c r="N887" s="378"/>
    </row>
    <row r="888" spans="1:14" ht="21.75" customHeight="1" x14ac:dyDescent="0.55000000000000004">
      <c r="A888" s="372"/>
      <c r="B888" s="372"/>
      <c r="C888" s="372"/>
      <c r="D888" s="372"/>
      <c r="E888" s="375"/>
      <c r="F888" s="375"/>
      <c r="G888" s="375"/>
      <c r="H888" s="375"/>
      <c r="I888" s="375"/>
      <c r="J888" s="375"/>
      <c r="K888" s="376"/>
      <c r="L888" s="377"/>
      <c r="M888" s="377"/>
      <c r="N888" s="378"/>
    </row>
    <row r="889" spans="1:14" ht="21.75" customHeight="1" x14ac:dyDescent="0.55000000000000004">
      <c r="A889" s="372"/>
      <c r="B889" s="372"/>
      <c r="C889" s="372"/>
      <c r="D889" s="372"/>
      <c r="E889" s="375"/>
      <c r="F889" s="375"/>
      <c r="G889" s="375"/>
      <c r="H889" s="375"/>
      <c r="I889" s="375"/>
      <c r="J889" s="375"/>
      <c r="K889" s="376"/>
      <c r="L889" s="377"/>
      <c r="M889" s="377"/>
      <c r="N889" s="378"/>
    </row>
    <row r="890" spans="1:14" ht="21.75" customHeight="1" x14ac:dyDescent="0.55000000000000004">
      <c r="A890" s="372"/>
      <c r="B890" s="372"/>
      <c r="C890" s="372"/>
      <c r="D890" s="372"/>
      <c r="E890" s="375"/>
      <c r="F890" s="375"/>
      <c r="G890" s="375"/>
      <c r="H890" s="375"/>
      <c r="I890" s="375"/>
      <c r="J890" s="375"/>
      <c r="K890" s="376"/>
      <c r="L890" s="377"/>
      <c r="M890" s="377"/>
      <c r="N890" s="378"/>
    </row>
    <row r="891" spans="1:14" ht="21.75" customHeight="1" x14ac:dyDescent="0.55000000000000004">
      <c r="A891" s="372"/>
      <c r="B891" s="372"/>
      <c r="C891" s="372"/>
      <c r="D891" s="372"/>
      <c r="E891" s="375"/>
      <c r="F891" s="375"/>
      <c r="G891" s="375"/>
      <c r="H891" s="375"/>
      <c r="I891" s="375"/>
      <c r="J891" s="375"/>
      <c r="K891" s="376"/>
      <c r="L891" s="377"/>
      <c r="M891" s="377"/>
      <c r="N891" s="378"/>
    </row>
    <row r="892" spans="1:14" ht="21.75" customHeight="1" x14ac:dyDescent="0.55000000000000004">
      <c r="A892" s="372"/>
      <c r="B892" s="372"/>
      <c r="C892" s="372"/>
      <c r="D892" s="372"/>
      <c r="E892" s="375"/>
      <c r="F892" s="375"/>
      <c r="G892" s="375"/>
      <c r="H892" s="375"/>
      <c r="I892" s="375"/>
      <c r="J892" s="375"/>
      <c r="K892" s="376"/>
      <c r="L892" s="377"/>
      <c r="M892" s="377"/>
      <c r="N892" s="378"/>
    </row>
    <row r="893" spans="1:14" ht="21.75" customHeight="1" x14ac:dyDescent="0.55000000000000004">
      <c r="A893" s="372"/>
      <c r="B893" s="372"/>
      <c r="C893" s="372"/>
      <c r="D893" s="372"/>
      <c r="E893" s="375"/>
      <c r="F893" s="375"/>
      <c r="G893" s="375"/>
      <c r="H893" s="375"/>
      <c r="I893" s="375"/>
      <c r="J893" s="375"/>
      <c r="K893" s="376"/>
      <c r="L893" s="377"/>
      <c r="M893" s="377"/>
      <c r="N893" s="378"/>
    </row>
    <row r="894" spans="1:14" ht="21.75" customHeight="1" x14ac:dyDescent="0.55000000000000004">
      <c r="A894" s="372"/>
      <c r="B894" s="372"/>
      <c r="C894" s="372"/>
      <c r="D894" s="372"/>
      <c r="E894" s="375"/>
      <c r="F894" s="375"/>
      <c r="G894" s="375"/>
      <c r="H894" s="375"/>
      <c r="I894" s="375"/>
      <c r="J894" s="375"/>
      <c r="K894" s="376"/>
      <c r="L894" s="377"/>
      <c r="M894" s="377"/>
      <c r="N894" s="378"/>
    </row>
    <row r="895" spans="1:14" ht="21.75" customHeight="1" x14ac:dyDescent="0.55000000000000004">
      <c r="A895" s="372"/>
      <c r="B895" s="372"/>
      <c r="C895" s="372"/>
      <c r="D895" s="372"/>
      <c r="E895" s="375"/>
      <c r="F895" s="375"/>
      <c r="G895" s="375"/>
      <c r="H895" s="375"/>
      <c r="I895" s="375"/>
      <c r="J895" s="375"/>
      <c r="K895" s="376"/>
      <c r="L895" s="377"/>
      <c r="M895" s="377"/>
      <c r="N895" s="378"/>
    </row>
    <row r="896" spans="1:14" ht="21.75" customHeight="1" x14ac:dyDescent="0.55000000000000004">
      <c r="A896" s="372"/>
      <c r="B896" s="372"/>
      <c r="C896" s="372"/>
      <c r="D896" s="372"/>
      <c r="E896" s="375"/>
      <c r="F896" s="375"/>
      <c r="G896" s="375"/>
      <c r="H896" s="375"/>
      <c r="I896" s="375"/>
      <c r="J896" s="375"/>
      <c r="K896" s="376"/>
      <c r="L896" s="377"/>
      <c r="M896" s="377"/>
      <c r="N896" s="378"/>
    </row>
    <row r="897" spans="1:14" ht="21.75" customHeight="1" x14ac:dyDescent="0.55000000000000004">
      <c r="A897" s="372"/>
      <c r="B897" s="372"/>
      <c r="C897" s="372"/>
      <c r="D897" s="372"/>
      <c r="E897" s="375"/>
      <c r="F897" s="375"/>
      <c r="G897" s="375"/>
      <c r="H897" s="375"/>
      <c r="I897" s="375"/>
      <c r="J897" s="375"/>
      <c r="K897" s="376"/>
      <c r="L897" s="377"/>
      <c r="M897" s="377"/>
      <c r="N897" s="378"/>
    </row>
    <row r="898" spans="1:14" ht="21.75" customHeight="1" x14ac:dyDescent="0.55000000000000004">
      <c r="A898" s="372"/>
      <c r="B898" s="372"/>
      <c r="C898" s="372"/>
      <c r="D898" s="372"/>
      <c r="E898" s="375"/>
      <c r="F898" s="375"/>
      <c r="G898" s="375"/>
      <c r="H898" s="375"/>
      <c r="I898" s="375"/>
      <c r="J898" s="375"/>
      <c r="K898" s="376"/>
      <c r="L898" s="377"/>
      <c r="M898" s="377"/>
      <c r="N898" s="378"/>
    </row>
    <row r="899" spans="1:14" ht="21.75" customHeight="1" x14ac:dyDescent="0.55000000000000004">
      <c r="A899" s="372"/>
      <c r="B899" s="372"/>
      <c r="C899" s="372"/>
      <c r="D899" s="372"/>
      <c r="E899" s="375"/>
      <c r="F899" s="375"/>
      <c r="G899" s="375"/>
      <c r="H899" s="375"/>
      <c r="I899" s="375"/>
      <c r="J899" s="375"/>
      <c r="K899" s="376"/>
      <c r="L899" s="377"/>
      <c r="M899" s="377"/>
      <c r="N899" s="378"/>
    </row>
    <row r="900" spans="1:14" ht="21.75" customHeight="1" x14ac:dyDescent="0.55000000000000004">
      <c r="A900" s="372"/>
      <c r="B900" s="372"/>
      <c r="C900" s="372"/>
      <c r="D900" s="372"/>
      <c r="E900" s="375"/>
      <c r="F900" s="375"/>
      <c r="G900" s="375"/>
      <c r="H900" s="375"/>
      <c r="I900" s="375"/>
      <c r="J900" s="375"/>
      <c r="K900" s="376"/>
      <c r="L900" s="377"/>
      <c r="M900" s="377"/>
      <c r="N900" s="378"/>
    </row>
    <row r="901" spans="1:14" ht="21.75" customHeight="1" x14ac:dyDescent="0.55000000000000004">
      <c r="A901" s="372"/>
      <c r="B901" s="372"/>
      <c r="C901" s="372"/>
      <c r="D901" s="372"/>
      <c r="E901" s="375"/>
      <c r="F901" s="375"/>
      <c r="G901" s="375"/>
      <c r="H901" s="375"/>
      <c r="I901" s="375"/>
      <c r="J901" s="375"/>
      <c r="K901" s="376"/>
      <c r="L901" s="377"/>
      <c r="M901" s="377"/>
      <c r="N901" s="378"/>
    </row>
    <row r="902" spans="1:14" ht="21.75" customHeight="1" x14ac:dyDescent="0.55000000000000004">
      <c r="A902" s="372"/>
      <c r="B902" s="372"/>
      <c r="C902" s="372"/>
      <c r="D902" s="372"/>
      <c r="E902" s="375"/>
      <c r="F902" s="375"/>
      <c r="G902" s="375"/>
      <c r="H902" s="375"/>
      <c r="I902" s="375"/>
      <c r="J902" s="375"/>
      <c r="K902" s="376"/>
      <c r="L902" s="377"/>
      <c r="M902" s="377"/>
      <c r="N902" s="378"/>
    </row>
    <row r="903" spans="1:14" ht="21.75" customHeight="1" x14ac:dyDescent="0.55000000000000004">
      <c r="A903" s="372"/>
      <c r="B903" s="372"/>
      <c r="C903" s="372"/>
      <c r="D903" s="372"/>
      <c r="E903" s="375"/>
      <c r="F903" s="375"/>
      <c r="G903" s="375"/>
      <c r="H903" s="375"/>
      <c r="I903" s="375"/>
      <c r="J903" s="375"/>
      <c r="K903" s="376"/>
      <c r="L903" s="377"/>
      <c r="M903" s="377"/>
      <c r="N903" s="378"/>
    </row>
    <row r="904" spans="1:14" ht="21.75" customHeight="1" x14ac:dyDescent="0.55000000000000004">
      <c r="A904" s="372"/>
      <c r="B904" s="372"/>
      <c r="C904" s="372"/>
      <c r="D904" s="372"/>
      <c r="E904" s="375"/>
      <c r="F904" s="375"/>
      <c r="G904" s="375"/>
      <c r="H904" s="375"/>
      <c r="I904" s="375"/>
      <c r="J904" s="375"/>
      <c r="K904" s="376"/>
      <c r="L904" s="377"/>
      <c r="M904" s="377"/>
      <c r="N904" s="378"/>
    </row>
    <row r="905" spans="1:14" ht="21.75" customHeight="1" x14ac:dyDescent="0.55000000000000004">
      <c r="A905" s="372"/>
      <c r="B905" s="372"/>
      <c r="C905" s="372"/>
      <c r="D905" s="372"/>
      <c r="E905" s="375"/>
      <c r="F905" s="375"/>
      <c r="G905" s="375"/>
      <c r="H905" s="375"/>
      <c r="I905" s="375"/>
      <c r="J905" s="375"/>
      <c r="K905" s="376"/>
      <c r="L905" s="377"/>
      <c r="M905" s="377"/>
      <c r="N905" s="378"/>
    </row>
    <row r="906" spans="1:14" ht="21.75" customHeight="1" x14ac:dyDescent="0.55000000000000004">
      <c r="A906" s="372"/>
      <c r="B906" s="372"/>
      <c r="C906" s="372"/>
      <c r="D906" s="372"/>
      <c r="E906" s="375"/>
      <c r="F906" s="375"/>
      <c r="G906" s="375"/>
      <c r="H906" s="375"/>
      <c r="I906" s="375"/>
      <c r="J906" s="375"/>
      <c r="K906" s="376"/>
      <c r="L906" s="377"/>
      <c r="M906" s="377"/>
      <c r="N906" s="378"/>
    </row>
    <row r="907" spans="1:14" ht="21.75" customHeight="1" x14ac:dyDescent="0.55000000000000004">
      <c r="A907" s="372"/>
      <c r="B907" s="372"/>
      <c r="C907" s="372"/>
      <c r="D907" s="372"/>
      <c r="E907" s="375"/>
      <c r="F907" s="375"/>
      <c r="G907" s="375"/>
      <c r="H907" s="375"/>
      <c r="I907" s="375"/>
      <c r="J907" s="375"/>
      <c r="K907" s="376"/>
      <c r="L907" s="377"/>
      <c r="M907" s="377"/>
      <c r="N907" s="378"/>
    </row>
    <row r="908" spans="1:14" ht="21.75" customHeight="1" x14ac:dyDescent="0.55000000000000004">
      <c r="A908" s="372"/>
      <c r="B908" s="372"/>
      <c r="C908" s="372"/>
      <c r="D908" s="372"/>
      <c r="E908" s="375"/>
      <c r="F908" s="375"/>
      <c r="G908" s="375"/>
      <c r="H908" s="375"/>
      <c r="I908" s="375"/>
      <c r="J908" s="375"/>
      <c r="K908" s="376"/>
      <c r="L908" s="377"/>
      <c r="M908" s="377"/>
      <c r="N908" s="378"/>
    </row>
    <row r="909" spans="1:14" ht="21.75" customHeight="1" x14ac:dyDescent="0.55000000000000004">
      <c r="A909" s="372"/>
      <c r="B909" s="372"/>
      <c r="C909" s="372"/>
      <c r="D909" s="372"/>
      <c r="E909" s="375"/>
      <c r="F909" s="375"/>
      <c r="G909" s="375"/>
      <c r="H909" s="375"/>
      <c r="I909" s="375"/>
      <c r="J909" s="375"/>
      <c r="K909" s="376"/>
      <c r="L909" s="377"/>
      <c r="M909" s="377"/>
      <c r="N909" s="378"/>
    </row>
    <row r="910" spans="1:14" ht="21.75" customHeight="1" x14ac:dyDescent="0.55000000000000004">
      <c r="A910" s="372"/>
      <c r="B910" s="372"/>
      <c r="C910" s="372"/>
      <c r="D910" s="372"/>
      <c r="E910" s="375"/>
      <c r="F910" s="375"/>
      <c r="G910" s="375"/>
      <c r="H910" s="375"/>
      <c r="I910" s="375"/>
      <c r="J910" s="375"/>
      <c r="K910" s="376"/>
      <c r="L910" s="377"/>
      <c r="M910" s="377"/>
      <c r="N910" s="378"/>
    </row>
    <row r="911" spans="1:14" ht="21.75" customHeight="1" x14ac:dyDescent="0.55000000000000004">
      <c r="A911" s="372"/>
      <c r="B911" s="372"/>
      <c r="C911" s="372"/>
      <c r="D911" s="372"/>
      <c r="E911" s="375"/>
      <c r="F911" s="375"/>
      <c r="G911" s="375"/>
      <c r="H911" s="375"/>
      <c r="I911" s="375"/>
      <c r="J911" s="375"/>
      <c r="K911" s="376"/>
      <c r="L911" s="377"/>
      <c r="M911" s="377"/>
      <c r="N911" s="378"/>
    </row>
    <row r="912" spans="1:14" ht="21.75" customHeight="1" x14ac:dyDescent="0.55000000000000004">
      <c r="A912" s="372"/>
      <c r="B912" s="372"/>
      <c r="C912" s="372"/>
      <c r="D912" s="372"/>
      <c r="E912" s="375"/>
      <c r="F912" s="375"/>
      <c r="G912" s="375"/>
      <c r="H912" s="375"/>
      <c r="I912" s="375"/>
      <c r="J912" s="375"/>
      <c r="K912" s="376"/>
      <c r="L912" s="377"/>
      <c r="M912" s="377"/>
      <c r="N912" s="378"/>
    </row>
    <row r="913" spans="1:14" ht="21.75" customHeight="1" x14ac:dyDescent="0.55000000000000004">
      <c r="A913" s="372"/>
      <c r="B913" s="372"/>
      <c r="C913" s="372"/>
      <c r="D913" s="372"/>
      <c r="E913" s="375"/>
      <c r="F913" s="375"/>
      <c r="G913" s="375"/>
      <c r="H913" s="375"/>
      <c r="I913" s="375"/>
      <c r="J913" s="375"/>
      <c r="K913" s="376"/>
      <c r="L913" s="377"/>
      <c r="M913" s="377"/>
      <c r="N913" s="378"/>
    </row>
    <row r="914" spans="1:14" ht="21.75" customHeight="1" x14ac:dyDescent="0.55000000000000004">
      <c r="A914" s="372"/>
      <c r="B914" s="372"/>
      <c r="C914" s="372"/>
      <c r="D914" s="372"/>
      <c r="E914" s="375"/>
      <c r="F914" s="375"/>
      <c r="G914" s="375"/>
      <c r="H914" s="375"/>
      <c r="I914" s="375"/>
      <c r="J914" s="375"/>
      <c r="K914" s="376"/>
      <c r="L914" s="377"/>
      <c r="M914" s="377"/>
      <c r="N914" s="378"/>
    </row>
    <row r="915" spans="1:14" ht="21.75" customHeight="1" x14ac:dyDescent="0.55000000000000004">
      <c r="A915" s="372"/>
      <c r="B915" s="372"/>
      <c r="C915" s="372"/>
      <c r="D915" s="372"/>
      <c r="E915" s="375"/>
      <c r="F915" s="375"/>
      <c r="G915" s="375"/>
      <c r="H915" s="375"/>
      <c r="I915" s="375"/>
      <c r="J915" s="375"/>
      <c r="K915" s="376"/>
      <c r="L915" s="377"/>
      <c r="M915" s="377"/>
      <c r="N915" s="378"/>
    </row>
    <row r="916" spans="1:14" ht="21.75" customHeight="1" x14ac:dyDescent="0.55000000000000004">
      <c r="A916" s="372"/>
      <c r="B916" s="372"/>
      <c r="C916" s="372"/>
      <c r="D916" s="372"/>
      <c r="E916" s="375"/>
      <c r="F916" s="375"/>
      <c r="G916" s="375"/>
      <c r="H916" s="375"/>
      <c r="I916" s="375"/>
      <c r="J916" s="375"/>
      <c r="K916" s="376"/>
      <c r="L916" s="377"/>
      <c r="M916" s="377"/>
      <c r="N916" s="378"/>
    </row>
    <row r="917" spans="1:14" ht="21.75" customHeight="1" x14ac:dyDescent="0.55000000000000004">
      <c r="A917" s="372"/>
      <c r="B917" s="372"/>
      <c r="C917" s="372"/>
      <c r="D917" s="372"/>
      <c r="E917" s="375"/>
      <c r="F917" s="375"/>
      <c r="G917" s="375"/>
      <c r="H917" s="375"/>
      <c r="I917" s="375"/>
      <c r="J917" s="375"/>
      <c r="K917" s="376"/>
      <c r="L917" s="377"/>
      <c r="M917" s="377"/>
      <c r="N917" s="378"/>
    </row>
    <row r="918" spans="1:14" ht="21.75" customHeight="1" x14ac:dyDescent="0.55000000000000004">
      <c r="A918" s="372"/>
      <c r="B918" s="372"/>
      <c r="C918" s="372"/>
      <c r="D918" s="372"/>
      <c r="E918" s="375"/>
      <c r="F918" s="375"/>
      <c r="G918" s="375"/>
      <c r="H918" s="375"/>
      <c r="I918" s="375"/>
      <c r="J918" s="375"/>
      <c r="K918" s="376"/>
      <c r="L918" s="377"/>
      <c r="M918" s="377"/>
      <c r="N918" s="378"/>
    </row>
    <row r="919" spans="1:14" ht="21.75" customHeight="1" x14ac:dyDescent="0.55000000000000004">
      <c r="A919" s="372"/>
      <c r="B919" s="372"/>
      <c r="C919" s="372"/>
      <c r="D919" s="372"/>
      <c r="E919" s="375"/>
      <c r="F919" s="375"/>
      <c r="G919" s="375"/>
      <c r="H919" s="375"/>
      <c r="I919" s="375"/>
      <c r="J919" s="375"/>
      <c r="K919" s="376"/>
      <c r="L919" s="377"/>
      <c r="M919" s="377"/>
      <c r="N919" s="378"/>
    </row>
    <row r="920" spans="1:14" ht="21.75" customHeight="1" x14ac:dyDescent="0.55000000000000004">
      <c r="A920" s="372"/>
      <c r="B920" s="372"/>
      <c r="C920" s="372"/>
      <c r="D920" s="372"/>
      <c r="E920" s="375"/>
      <c r="F920" s="375"/>
      <c r="G920" s="375"/>
      <c r="H920" s="375"/>
      <c r="I920" s="375"/>
      <c r="J920" s="375"/>
      <c r="K920" s="376"/>
      <c r="L920" s="377"/>
      <c r="M920" s="377"/>
      <c r="N920" s="378"/>
    </row>
    <row r="921" spans="1:14" ht="21.75" customHeight="1" x14ac:dyDescent="0.55000000000000004">
      <c r="A921" s="372"/>
      <c r="B921" s="372"/>
      <c r="C921" s="372"/>
      <c r="D921" s="372"/>
      <c r="E921" s="375"/>
      <c r="F921" s="375"/>
      <c r="G921" s="375"/>
      <c r="H921" s="375"/>
      <c r="I921" s="375"/>
      <c r="J921" s="375"/>
      <c r="K921" s="376"/>
      <c r="L921" s="377"/>
      <c r="M921" s="377"/>
      <c r="N921" s="378"/>
    </row>
    <row r="922" spans="1:14" ht="21.75" customHeight="1" x14ac:dyDescent="0.55000000000000004">
      <c r="A922" s="372"/>
      <c r="B922" s="372"/>
      <c r="C922" s="372"/>
      <c r="D922" s="372"/>
      <c r="E922" s="375"/>
      <c r="F922" s="375"/>
      <c r="G922" s="375"/>
      <c r="H922" s="375"/>
      <c r="I922" s="375"/>
      <c r="J922" s="375"/>
      <c r="K922" s="376"/>
      <c r="L922" s="377"/>
      <c r="M922" s="377"/>
      <c r="N922" s="378"/>
    </row>
    <row r="923" spans="1:14" ht="21.75" customHeight="1" x14ac:dyDescent="0.55000000000000004">
      <c r="A923" s="372"/>
      <c r="B923" s="372"/>
      <c r="C923" s="372"/>
      <c r="D923" s="372"/>
      <c r="E923" s="375"/>
      <c r="F923" s="375"/>
      <c r="G923" s="375"/>
      <c r="H923" s="375"/>
      <c r="I923" s="375"/>
      <c r="J923" s="375"/>
      <c r="K923" s="376"/>
      <c r="L923" s="377"/>
      <c r="M923" s="377"/>
      <c r="N923" s="378"/>
    </row>
    <row r="924" spans="1:14" ht="21.75" customHeight="1" x14ac:dyDescent="0.55000000000000004">
      <c r="A924" s="372"/>
      <c r="B924" s="372"/>
      <c r="C924" s="372"/>
      <c r="D924" s="372"/>
      <c r="E924" s="375"/>
      <c r="F924" s="375"/>
      <c r="G924" s="375"/>
      <c r="H924" s="375"/>
      <c r="I924" s="375"/>
      <c r="J924" s="375"/>
      <c r="K924" s="376"/>
      <c r="L924" s="377"/>
      <c r="M924" s="377"/>
      <c r="N924" s="378"/>
    </row>
    <row r="925" spans="1:14" ht="21.75" customHeight="1" x14ac:dyDescent="0.55000000000000004">
      <c r="A925" s="372"/>
      <c r="B925" s="372"/>
      <c r="C925" s="372"/>
      <c r="D925" s="372"/>
      <c r="E925" s="375"/>
      <c r="F925" s="375"/>
      <c r="G925" s="375"/>
      <c r="H925" s="375"/>
      <c r="I925" s="375"/>
      <c r="J925" s="375"/>
      <c r="K925" s="376"/>
      <c r="L925" s="377"/>
      <c r="M925" s="377"/>
      <c r="N925" s="378"/>
    </row>
    <row r="926" spans="1:14" ht="21.75" customHeight="1" x14ac:dyDescent="0.55000000000000004">
      <c r="A926" s="372"/>
      <c r="B926" s="372"/>
      <c r="C926" s="372"/>
      <c r="D926" s="372"/>
      <c r="E926" s="375"/>
      <c r="F926" s="375"/>
      <c r="G926" s="375"/>
      <c r="H926" s="375"/>
      <c r="I926" s="375"/>
      <c r="J926" s="375"/>
      <c r="K926" s="376"/>
      <c r="L926" s="377"/>
      <c r="M926" s="377"/>
      <c r="N926" s="378"/>
    </row>
    <row r="927" spans="1:14" ht="21.75" customHeight="1" x14ac:dyDescent="0.55000000000000004">
      <c r="A927" s="372"/>
      <c r="B927" s="372"/>
      <c r="C927" s="372"/>
      <c r="D927" s="372"/>
      <c r="E927" s="375"/>
      <c r="F927" s="375"/>
      <c r="G927" s="375"/>
      <c r="H927" s="375"/>
      <c r="I927" s="375"/>
      <c r="J927" s="375"/>
      <c r="K927" s="376"/>
      <c r="L927" s="377"/>
      <c r="M927" s="377"/>
      <c r="N927" s="378"/>
    </row>
    <row r="928" spans="1:14" ht="21.75" customHeight="1" x14ac:dyDescent="0.55000000000000004">
      <c r="A928" s="372"/>
      <c r="B928" s="372"/>
      <c r="C928" s="372"/>
      <c r="D928" s="372"/>
      <c r="E928" s="375"/>
      <c r="F928" s="375"/>
      <c r="G928" s="375"/>
      <c r="H928" s="375"/>
      <c r="I928" s="375"/>
      <c r="J928" s="375"/>
      <c r="K928" s="376"/>
      <c r="L928" s="377"/>
      <c r="M928" s="377"/>
      <c r="N928" s="378"/>
    </row>
    <row r="929" spans="1:14" ht="21.75" customHeight="1" x14ac:dyDescent="0.55000000000000004">
      <c r="A929" s="372"/>
      <c r="B929" s="372"/>
      <c r="C929" s="372"/>
      <c r="D929" s="372"/>
      <c r="E929" s="375"/>
      <c r="F929" s="375"/>
      <c r="G929" s="375"/>
      <c r="H929" s="375"/>
      <c r="I929" s="375"/>
      <c r="J929" s="375"/>
      <c r="K929" s="376"/>
      <c r="L929" s="377"/>
      <c r="M929" s="377"/>
      <c r="N929" s="378"/>
    </row>
    <row r="930" spans="1:14" ht="21.75" customHeight="1" x14ac:dyDescent="0.55000000000000004">
      <c r="A930" s="372"/>
      <c r="B930" s="372"/>
      <c r="C930" s="372"/>
      <c r="D930" s="372"/>
      <c r="E930" s="375"/>
      <c r="F930" s="375"/>
      <c r="G930" s="375"/>
      <c r="H930" s="375"/>
      <c r="I930" s="375"/>
      <c r="J930" s="375"/>
      <c r="K930" s="376"/>
      <c r="L930" s="377"/>
      <c r="M930" s="377"/>
      <c r="N930" s="378"/>
    </row>
    <row r="931" spans="1:14" ht="21.75" customHeight="1" x14ac:dyDescent="0.55000000000000004">
      <c r="A931" s="372"/>
      <c r="B931" s="372"/>
      <c r="C931" s="372"/>
      <c r="D931" s="372"/>
      <c r="E931" s="375"/>
      <c r="F931" s="375"/>
      <c r="G931" s="375"/>
      <c r="H931" s="375"/>
      <c r="I931" s="375"/>
      <c r="J931" s="375"/>
      <c r="K931" s="376"/>
      <c r="L931" s="377"/>
      <c r="M931" s="377"/>
      <c r="N931" s="378"/>
    </row>
    <row r="932" spans="1:14" ht="21.75" customHeight="1" x14ac:dyDescent="0.55000000000000004">
      <c r="A932" s="372"/>
      <c r="B932" s="372"/>
      <c r="C932" s="372"/>
      <c r="D932" s="372"/>
      <c r="E932" s="375"/>
      <c r="F932" s="375"/>
      <c r="G932" s="375"/>
      <c r="H932" s="375"/>
      <c r="I932" s="375"/>
      <c r="J932" s="375"/>
      <c r="K932" s="376"/>
      <c r="L932" s="377"/>
      <c r="M932" s="377"/>
      <c r="N932" s="378"/>
    </row>
    <row r="933" spans="1:14" ht="21.75" customHeight="1" x14ac:dyDescent="0.55000000000000004">
      <c r="A933" s="372"/>
      <c r="B933" s="372"/>
      <c r="C933" s="372"/>
      <c r="D933" s="372"/>
      <c r="E933" s="375"/>
      <c r="F933" s="375"/>
      <c r="G933" s="375"/>
      <c r="H933" s="375"/>
      <c r="I933" s="375"/>
      <c r="J933" s="375"/>
      <c r="K933" s="376"/>
      <c r="L933" s="377"/>
      <c r="M933" s="377"/>
      <c r="N933" s="378"/>
    </row>
    <row r="934" spans="1:14" ht="21.75" customHeight="1" x14ac:dyDescent="0.55000000000000004">
      <c r="A934" s="372"/>
      <c r="B934" s="372"/>
      <c r="C934" s="372"/>
      <c r="D934" s="372"/>
      <c r="E934" s="375"/>
      <c r="F934" s="375"/>
      <c r="G934" s="375"/>
      <c r="H934" s="375"/>
      <c r="I934" s="375"/>
      <c r="J934" s="375"/>
      <c r="K934" s="376"/>
      <c r="L934" s="377"/>
      <c r="M934" s="377"/>
      <c r="N934" s="378"/>
    </row>
    <row r="935" spans="1:14" ht="21.75" customHeight="1" x14ac:dyDescent="0.55000000000000004">
      <c r="A935" s="372"/>
      <c r="B935" s="372"/>
      <c r="C935" s="372"/>
      <c r="D935" s="372"/>
      <c r="E935" s="375"/>
      <c r="F935" s="375"/>
      <c r="G935" s="375"/>
      <c r="H935" s="375"/>
      <c r="I935" s="375"/>
      <c r="J935" s="375"/>
      <c r="K935" s="376"/>
      <c r="L935" s="377"/>
      <c r="M935" s="377"/>
      <c r="N935" s="378"/>
    </row>
    <row r="936" spans="1:14" ht="21.75" customHeight="1" x14ac:dyDescent="0.55000000000000004">
      <c r="A936" s="372"/>
      <c r="B936" s="372"/>
      <c r="C936" s="372"/>
      <c r="D936" s="372"/>
      <c r="E936" s="375"/>
      <c r="F936" s="375"/>
      <c r="G936" s="375"/>
      <c r="H936" s="375"/>
      <c r="I936" s="375"/>
      <c r="J936" s="375"/>
      <c r="K936" s="376"/>
      <c r="L936" s="377"/>
      <c r="M936" s="377"/>
      <c r="N936" s="378"/>
    </row>
    <row r="937" spans="1:14" ht="21.75" customHeight="1" x14ac:dyDescent="0.55000000000000004">
      <c r="A937" s="372"/>
      <c r="B937" s="372"/>
      <c r="C937" s="372"/>
      <c r="D937" s="372"/>
      <c r="E937" s="375"/>
      <c r="F937" s="375"/>
      <c r="G937" s="375"/>
      <c r="H937" s="375"/>
      <c r="I937" s="375"/>
      <c r="J937" s="375"/>
      <c r="K937" s="376"/>
      <c r="L937" s="377"/>
      <c r="M937" s="377"/>
      <c r="N937" s="378"/>
    </row>
    <row r="938" spans="1:14" ht="21.75" customHeight="1" x14ac:dyDescent="0.55000000000000004">
      <c r="A938" s="372"/>
      <c r="B938" s="372"/>
      <c r="C938" s="372"/>
      <c r="D938" s="372"/>
      <c r="E938" s="375"/>
      <c r="F938" s="375"/>
      <c r="G938" s="375"/>
      <c r="H938" s="375"/>
      <c r="I938" s="375"/>
      <c r="J938" s="375"/>
      <c r="K938" s="376"/>
      <c r="L938" s="377"/>
      <c r="M938" s="377"/>
      <c r="N938" s="378"/>
    </row>
    <row r="939" spans="1:14" ht="21.75" customHeight="1" x14ac:dyDescent="0.55000000000000004">
      <c r="A939" s="372"/>
      <c r="B939" s="372"/>
      <c r="C939" s="372"/>
      <c r="D939" s="372"/>
      <c r="E939" s="375"/>
      <c r="F939" s="375"/>
      <c r="G939" s="375"/>
      <c r="H939" s="375"/>
      <c r="I939" s="375"/>
      <c r="J939" s="375"/>
      <c r="K939" s="376"/>
      <c r="L939" s="377"/>
      <c r="M939" s="377"/>
      <c r="N939" s="378"/>
    </row>
    <row r="940" spans="1:14" ht="21.75" customHeight="1" x14ac:dyDescent="0.55000000000000004">
      <c r="A940" s="372"/>
      <c r="B940" s="372"/>
      <c r="C940" s="372"/>
      <c r="D940" s="372"/>
      <c r="E940" s="375"/>
      <c r="F940" s="375"/>
      <c r="G940" s="375"/>
      <c r="H940" s="375"/>
      <c r="I940" s="375"/>
      <c r="J940" s="375"/>
      <c r="K940" s="376"/>
      <c r="L940" s="377"/>
      <c r="M940" s="377"/>
      <c r="N940" s="378"/>
    </row>
    <row r="941" spans="1:14" ht="21.75" customHeight="1" x14ac:dyDescent="0.55000000000000004">
      <c r="A941" s="372"/>
      <c r="B941" s="372"/>
      <c r="C941" s="372"/>
      <c r="D941" s="372"/>
      <c r="E941" s="375"/>
      <c r="F941" s="375"/>
      <c r="G941" s="375"/>
      <c r="H941" s="375"/>
      <c r="I941" s="375"/>
      <c r="J941" s="375"/>
      <c r="K941" s="376"/>
      <c r="L941" s="377"/>
      <c r="M941" s="377"/>
      <c r="N941" s="378"/>
    </row>
    <row r="942" spans="1:14" ht="21.75" customHeight="1" x14ac:dyDescent="0.55000000000000004">
      <c r="A942" s="372"/>
      <c r="B942" s="372"/>
      <c r="C942" s="372"/>
      <c r="D942" s="372"/>
      <c r="E942" s="375"/>
      <c r="F942" s="375"/>
      <c r="G942" s="375"/>
      <c r="H942" s="375"/>
      <c r="I942" s="375"/>
      <c r="J942" s="375"/>
      <c r="K942" s="376"/>
      <c r="L942" s="377"/>
      <c r="M942" s="377"/>
      <c r="N942" s="378"/>
    </row>
    <row r="943" spans="1:14" ht="21.75" customHeight="1" x14ac:dyDescent="0.55000000000000004">
      <c r="A943" s="372"/>
      <c r="B943" s="372"/>
      <c r="C943" s="372"/>
      <c r="D943" s="372"/>
      <c r="E943" s="375"/>
      <c r="F943" s="375"/>
      <c r="G943" s="375"/>
      <c r="H943" s="375"/>
      <c r="I943" s="375"/>
      <c r="J943" s="375"/>
      <c r="K943" s="376"/>
      <c r="L943" s="377"/>
      <c r="M943" s="377"/>
      <c r="N943" s="378"/>
    </row>
    <row r="944" spans="1:14" ht="21.75" customHeight="1" x14ac:dyDescent="0.55000000000000004">
      <c r="A944" s="372"/>
      <c r="B944" s="372"/>
      <c r="C944" s="372"/>
      <c r="D944" s="372"/>
      <c r="E944" s="375"/>
      <c r="F944" s="375"/>
      <c r="G944" s="375"/>
      <c r="H944" s="375"/>
      <c r="I944" s="375"/>
      <c r="J944" s="375"/>
      <c r="K944" s="376"/>
      <c r="L944" s="377"/>
      <c r="M944" s="377"/>
      <c r="N944" s="378"/>
    </row>
    <row r="945" spans="1:14" ht="21.75" customHeight="1" x14ac:dyDescent="0.55000000000000004">
      <c r="A945" s="372"/>
      <c r="B945" s="372"/>
      <c r="C945" s="372"/>
      <c r="D945" s="372"/>
      <c r="E945" s="375"/>
      <c r="F945" s="375"/>
      <c r="G945" s="375"/>
      <c r="H945" s="375"/>
      <c r="I945" s="375"/>
      <c r="J945" s="375"/>
      <c r="K945" s="376"/>
      <c r="L945" s="377"/>
      <c r="M945" s="377"/>
      <c r="N945" s="378"/>
    </row>
    <row r="946" spans="1:14" ht="21.75" customHeight="1" x14ac:dyDescent="0.55000000000000004">
      <c r="A946" s="372"/>
      <c r="B946" s="372"/>
      <c r="C946" s="372"/>
      <c r="D946" s="372"/>
      <c r="E946" s="375"/>
      <c r="F946" s="375"/>
      <c r="G946" s="375"/>
      <c r="H946" s="375"/>
      <c r="I946" s="375"/>
      <c r="J946" s="375"/>
      <c r="K946" s="376"/>
      <c r="L946" s="377"/>
      <c r="M946" s="377"/>
      <c r="N946" s="378"/>
    </row>
    <row r="947" spans="1:14" ht="21.75" customHeight="1" x14ac:dyDescent="0.55000000000000004">
      <c r="A947" s="372"/>
      <c r="B947" s="372"/>
      <c r="C947" s="372"/>
      <c r="D947" s="372"/>
      <c r="E947" s="375"/>
      <c r="F947" s="375"/>
      <c r="G947" s="375"/>
      <c r="H947" s="375"/>
      <c r="I947" s="375"/>
      <c r="J947" s="375"/>
      <c r="K947" s="376"/>
      <c r="L947" s="377"/>
      <c r="M947" s="377"/>
      <c r="N947" s="378"/>
    </row>
    <row r="948" spans="1:14" ht="21.75" customHeight="1" x14ac:dyDescent="0.55000000000000004">
      <c r="A948" s="372"/>
      <c r="B948" s="372"/>
      <c r="C948" s="372"/>
      <c r="D948" s="372"/>
      <c r="E948" s="375"/>
      <c r="F948" s="375"/>
      <c r="G948" s="375"/>
      <c r="H948" s="375"/>
      <c r="I948" s="375"/>
      <c r="J948" s="375"/>
      <c r="K948" s="376"/>
      <c r="L948" s="377"/>
      <c r="M948" s="377"/>
      <c r="N948" s="378"/>
    </row>
    <row r="949" spans="1:14" ht="21.75" customHeight="1" x14ac:dyDescent="0.55000000000000004">
      <c r="A949" s="372"/>
      <c r="B949" s="372"/>
      <c r="C949" s="372"/>
      <c r="D949" s="372"/>
      <c r="E949" s="375"/>
      <c r="F949" s="375"/>
      <c r="G949" s="375"/>
      <c r="H949" s="375"/>
      <c r="I949" s="375"/>
      <c r="J949" s="375"/>
      <c r="K949" s="376"/>
      <c r="L949" s="377"/>
      <c r="M949" s="377"/>
      <c r="N949" s="378"/>
    </row>
    <row r="950" spans="1:14" ht="21.75" customHeight="1" x14ac:dyDescent="0.55000000000000004">
      <c r="A950" s="372"/>
      <c r="B950" s="372"/>
      <c r="C950" s="372"/>
      <c r="D950" s="372"/>
      <c r="E950" s="375"/>
      <c r="F950" s="375"/>
      <c r="G950" s="375"/>
      <c r="H950" s="375"/>
      <c r="I950" s="375"/>
      <c r="J950" s="375"/>
      <c r="K950" s="376"/>
      <c r="L950" s="377"/>
      <c r="M950" s="377"/>
      <c r="N950" s="378"/>
    </row>
    <row r="951" spans="1:14" ht="21.75" customHeight="1" x14ac:dyDescent="0.55000000000000004">
      <c r="A951" s="372"/>
      <c r="B951" s="372"/>
      <c r="C951" s="372"/>
      <c r="D951" s="372"/>
      <c r="E951" s="375"/>
      <c r="F951" s="375"/>
      <c r="G951" s="375"/>
      <c r="H951" s="375"/>
      <c r="I951" s="375"/>
      <c r="J951" s="375"/>
      <c r="K951" s="376"/>
      <c r="L951" s="377"/>
      <c r="M951" s="377"/>
      <c r="N951" s="378"/>
    </row>
    <row r="952" spans="1:14" ht="21.75" customHeight="1" x14ac:dyDescent="0.55000000000000004">
      <c r="A952" s="372"/>
      <c r="B952" s="372"/>
      <c r="C952" s="372"/>
      <c r="D952" s="372"/>
      <c r="E952" s="375"/>
      <c r="F952" s="375"/>
      <c r="G952" s="375"/>
      <c r="H952" s="375"/>
      <c r="I952" s="375"/>
      <c r="J952" s="375"/>
      <c r="K952" s="376"/>
      <c r="L952" s="377"/>
      <c r="M952" s="377"/>
      <c r="N952" s="378"/>
    </row>
    <row r="953" spans="1:14" ht="21.75" customHeight="1" x14ac:dyDescent="0.55000000000000004">
      <c r="A953" s="372"/>
      <c r="B953" s="372"/>
      <c r="C953" s="372"/>
      <c r="D953" s="372"/>
      <c r="E953" s="375"/>
      <c r="F953" s="375"/>
      <c r="G953" s="375"/>
      <c r="H953" s="375"/>
      <c r="I953" s="375"/>
      <c r="J953" s="375"/>
      <c r="K953" s="376"/>
      <c r="L953" s="377"/>
      <c r="M953" s="377"/>
      <c r="N953" s="378"/>
    </row>
    <row r="954" spans="1:14" ht="21.75" customHeight="1" x14ac:dyDescent="0.55000000000000004">
      <c r="A954" s="372"/>
      <c r="B954" s="372"/>
      <c r="C954" s="372"/>
      <c r="D954" s="372"/>
      <c r="E954" s="375"/>
      <c r="F954" s="375"/>
      <c r="G954" s="375"/>
      <c r="H954" s="375"/>
      <c r="I954" s="375"/>
      <c r="J954" s="375"/>
      <c r="K954" s="376"/>
      <c r="L954" s="377"/>
      <c r="M954" s="377"/>
      <c r="N954" s="378"/>
    </row>
    <row r="955" spans="1:14" ht="21.75" customHeight="1" x14ac:dyDescent="0.55000000000000004">
      <c r="A955" s="372"/>
      <c r="B955" s="372"/>
      <c r="C955" s="372"/>
      <c r="D955" s="372"/>
      <c r="E955" s="375"/>
      <c r="F955" s="375"/>
      <c r="G955" s="375"/>
      <c r="H955" s="375"/>
      <c r="I955" s="375"/>
      <c r="J955" s="375"/>
      <c r="K955" s="376"/>
      <c r="L955" s="377"/>
      <c r="M955" s="377"/>
      <c r="N955" s="378"/>
    </row>
    <row r="956" spans="1:14" ht="21.75" customHeight="1" x14ac:dyDescent="0.55000000000000004">
      <c r="A956" s="372"/>
      <c r="B956" s="372"/>
      <c r="C956" s="372"/>
      <c r="D956" s="372"/>
      <c r="E956" s="375"/>
      <c r="F956" s="375"/>
      <c r="G956" s="375"/>
      <c r="H956" s="375"/>
      <c r="I956" s="375"/>
      <c r="J956" s="375"/>
      <c r="K956" s="376"/>
      <c r="L956" s="377"/>
      <c r="M956" s="377"/>
      <c r="N956" s="378"/>
    </row>
    <row r="957" spans="1:14" ht="21.75" customHeight="1" x14ac:dyDescent="0.55000000000000004">
      <c r="A957" s="372"/>
      <c r="B957" s="372"/>
      <c r="C957" s="372"/>
      <c r="D957" s="372"/>
      <c r="E957" s="375"/>
      <c r="F957" s="375"/>
      <c r="G957" s="375"/>
      <c r="H957" s="375"/>
      <c r="I957" s="375"/>
      <c r="J957" s="375"/>
      <c r="K957" s="376"/>
      <c r="L957" s="377"/>
      <c r="M957" s="377"/>
      <c r="N957" s="378"/>
    </row>
    <row r="958" spans="1:14" ht="21.75" customHeight="1" x14ac:dyDescent="0.55000000000000004">
      <c r="A958" s="372"/>
      <c r="B958" s="372"/>
      <c r="C958" s="372"/>
      <c r="D958" s="372"/>
      <c r="E958" s="375"/>
      <c r="F958" s="375"/>
      <c r="G958" s="375"/>
      <c r="H958" s="375"/>
      <c r="I958" s="375"/>
      <c r="J958" s="375"/>
      <c r="K958" s="376"/>
      <c r="L958" s="377"/>
      <c r="M958" s="377"/>
      <c r="N958" s="378"/>
    </row>
    <row r="959" spans="1:14" ht="21.75" customHeight="1" x14ac:dyDescent="0.55000000000000004">
      <c r="A959" s="372"/>
      <c r="B959" s="372"/>
      <c r="C959" s="372"/>
      <c r="D959" s="372"/>
      <c r="E959" s="375"/>
      <c r="F959" s="375"/>
      <c r="G959" s="375"/>
      <c r="H959" s="375"/>
      <c r="I959" s="375"/>
      <c r="J959" s="375"/>
      <c r="K959" s="376"/>
      <c r="L959" s="377"/>
      <c r="M959" s="377"/>
      <c r="N959" s="378"/>
    </row>
    <row r="960" spans="1:14" ht="21.75" customHeight="1" x14ac:dyDescent="0.55000000000000004">
      <c r="A960" s="372"/>
      <c r="B960" s="372"/>
      <c r="C960" s="372"/>
      <c r="D960" s="372"/>
      <c r="E960" s="375"/>
      <c r="F960" s="375"/>
      <c r="G960" s="375"/>
      <c r="H960" s="375"/>
      <c r="I960" s="375"/>
      <c r="J960" s="375"/>
      <c r="K960" s="376"/>
      <c r="L960" s="377"/>
      <c r="M960" s="377"/>
      <c r="N960" s="378"/>
    </row>
    <row r="961" spans="1:14" ht="21.75" customHeight="1" x14ac:dyDescent="0.55000000000000004">
      <c r="A961" s="372"/>
      <c r="B961" s="372"/>
      <c r="C961" s="372"/>
      <c r="D961" s="372"/>
      <c r="E961" s="375"/>
      <c r="F961" s="375"/>
      <c r="G961" s="375"/>
      <c r="H961" s="375"/>
      <c r="I961" s="375"/>
      <c r="J961" s="375"/>
      <c r="K961" s="376"/>
      <c r="L961" s="377"/>
      <c r="M961" s="377"/>
      <c r="N961" s="378"/>
    </row>
    <row r="962" spans="1:14" ht="21.75" customHeight="1" x14ac:dyDescent="0.55000000000000004">
      <c r="A962" s="372"/>
      <c r="B962" s="372"/>
      <c r="C962" s="372"/>
      <c r="D962" s="372"/>
      <c r="E962" s="375"/>
      <c r="F962" s="375"/>
      <c r="G962" s="375"/>
      <c r="H962" s="375"/>
      <c r="I962" s="375"/>
      <c r="J962" s="375"/>
      <c r="K962" s="376"/>
      <c r="L962" s="377"/>
      <c r="M962" s="377"/>
      <c r="N962" s="378"/>
    </row>
    <row r="963" spans="1:14" ht="21.75" customHeight="1" x14ac:dyDescent="0.55000000000000004">
      <c r="A963" s="372"/>
      <c r="B963" s="372"/>
      <c r="C963" s="372"/>
      <c r="D963" s="372"/>
      <c r="E963" s="375"/>
      <c r="F963" s="375"/>
      <c r="G963" s="375"/>
      <c r="H963" s="375"/>
      <c r="I963" s="375"/>
      <c r="J963" s="375"/>
      <c r="K963" s="376"/>
      <c r="L963" s="377"/>
      <c r="M963" s="377"/>
      <c r="N963" s="378"/>
    </row>
    <row r="964" spans="1:14" ht="21.75" customHeight="1" x14ac:dyDescent="0.55000000000000004">
      <c r="A964" s="372"/>
      <c r="B964" s="372"/>
      <c r="C964" s="372"/>
      <c r="D964" s="372"/>
      <c r="E964" s="375"/>
      <c r="F964" s="375"/>
      <c r="G964" s="375"/>
      <c r="H964" s="375"/>
      <c r="I964" s="375"/>
      <c r="J964" s="375"/>
      <c r="K964" s="376"/>
      <c r="L964" s="377"/>
      <c r="M964" s="377"/>
      <c r="N964" s="378"/>
    </row>
    <row r="965" spans="1:14" ht="21.75" customHeight="1" x14ac:dyDescent="0.55000000000000004">
      <c r="A965" s="372"/>
      <c r="B965" s="372"/>
      <c r="C965" s="372"/>
      <c r="D965" s="372"/>
      <c r="E965" s="375"/>
      <c r="F965" s="375"/>
      <c r="G965" s="375"/>
      <c r="H965" s="375"/>
      <c r="I965" s="375"/>
      <c r="J965" s="375"/>
      <c r="K965" s="376"/>
      <c r="L965" s="377"/>
      <c r="M965" s="377"/>
      <c r="N965" s="378"/>
    </row>
    <row r="966" spans="1:14" ht="21.75" customHeight="1" x14ac:dyDescent="0.55000000000000004">
      <c r="A966" s="372"/>
      <c r="B966" s="372"/>
      <c r="C966" s="372"/>
      <c r="D966" s="372"/>
      <c r="E966" s="375"/>
      <c r="F966" s="375"/>
      <c r="G966" s="375"/>
      <c r="H966" s="375"/>
      <c r="I966" s="375"/>
      <c r="J966" s="375"/>
      <c r="K966" s="376"/>
      <c r="L966" s="377"/>
      <c r="M966" s="377"/>
      <c r="N966" s="378"/>
    </row>
    <row r="967" spans="1:14" ht="21.75" customHeight="1" x14ac:dyDescent="0.55000000000000004">
      <c r="A967" s="372"/>
      <c r="B967" s="372"/>
      <c r="C967" s="372"/>
      <c r="D967" s="372"/>
      <c r="E967" s="375"/>
      <c r="F967" s="375"/>
      <c r="G967" s="375"/>
      <c r="H967" s="375"/>
      <c r="I967" s="375"/>
      <c r="J967" s="375"/>
      <c r="K967" s="376"/>
      <c r="L967" s="377"/>
      <c r="M967" s="377"/>
      <c r="N967" s="378"/>
    </row>
    <row r="968" spans="1:14" ht="21.75" customHeight="1" x14ac:dyDescent="0.55000000000000004">
      <c r="A968" s="372"/>
      <c r="B968" s="372"/>
      <c r="C968" s="372"/>
      <c r="D968" s="372"/>
      <c r="E968" s="375"/>
      <c r="F968" s="375"/>
      <c r="G968" s="375"/>
      <c r="H968" s="375"/>
      <c r="I968" s="375"/>
      <c r="J968" s="375"/>
      <c r="K968" s="376"/>
      <c r="L968" s="377"/>
      <c r="M968" s="377"/>
      <c r="N968" s="378"/>
    </row>
    <row r="969" spans="1:14" ht="21.75" customHeight="1" x14ac:dyDescent="0.55000000000000004">
      <c r="A969" s="372"/>
      <c r="B969" s="372"/>
      <c r="C969" s="372"/>
      <c r="D969" s="372"/>
      <c r="E969" s="375"/>
      <c r="F969" s="375"/>
      <c r="G969" s="375"/>
      <c r="H969" s="375"/>
      <c r="I969" s="375"/>
      <c r="J969" s="375"/>
      <c r="K969" s="376"/>
      <c r="L969" s="377"/>
      <c r="M969" s="377"/>
      <c r="N969" s="378"/>
    </row>
    <row r="970" spans="1:14" ht="21.75" customHeight="1" x14ac:dyDescent="0.55000000000000004">
      <c r="A970" s="372"/>
      <c r="B970" s="372"/>
      <c r="C970" s="372"/>
      <c r="D970" s="372"/>
      <c r="E970" s="375"/>
      <c r="F970" s="375"/>
      <c r="G970" s="375"/>
      <c r="H970" s="375"/>
      <c r="I970" s="375"/>
      <c r="J970" s="375"/>
      <c r="K970" s="376"/>
      <c r="L970" s="377"/>
      <c r="M970" s="377"/>
      <c r="N970" s="378"/>
    </row>
    <row r="971" spans="1:14" ht="21.75" customHeight="1" x14ac:dyDescent="0.55000000000000004">
      <c r="A971" s="372"/>
      <c r="B971" s="372"/>
      <c r="C971" s="372"/>
      <c r="D971" s="372"/>
      <c r="E971" s="375"/>
      <c r="F971" s="375"/>
      <c r="G971" s="375"/>
      <c r="H971" s="375"/>
      <c r="I971" s="375"/>
      <c r="J971" s="375"/>
      <c r="K971" s="376"/>
      <c r="L971" s="377"/>
      <c r="M971" s="377"/>
      <c r="N971" s="378"/>
    </row>
    <row r="972" spans="1:14" ht="21.75" customHeight="1" x14ac:dyDescent="0.55000000000000004">
      <c r="A972" s="372"/>
      <c r="B972" s="372"/>
      <c r="C972" s="372"/>
      <c r="D972" s="372"/>
      <c r="E972" s="375"/>
      <c r="F972" s="375"/>
      <c r="G972" s="375"/>
      <c r="H972" s="375"/>
      <c r="I972" s="375"/>
      <c r="J972" s="375"/>
      <c r="K972" s="376"/>
      <c r="L972" s="377"/>
      <c r="M972" s="377"/>
      <c r="N972" s="378"/>
    </row>
    <row r="973" spans="1:14" ht="21.75" customHeight="1" x14ac:dyDescent="0.55000000000000004">
      <c r="A973" s="372"/>
      <c r="B973" s="372"/>
      <c r="C973" s="372"/>
      <c r="D973" s="372"/>
      <c r="E973" s="375"/>
      <c r="F973" s="375"/>
      <c r="G973" s="375"/>
      <c r="H973" s="375"/>
      <c r="I973" s="375"/>
      <c r="J973" s="375"/>
      <c r="K973" s="376"/>
      <c r="L973" s="377"/>
      <c r="M973" s="377"/>
      <c r="N973" s="378"/>
    </row>
    <row r="974" spans="1:14" ht="21.75" customHeight="1" x14ac:dyDescent="0.55000000000000004">
      <c r="A974" s="372"/>
      <c r="B974" s="372"/>
      <c r="C974" s="372"/>
      <c r="D974" s="372"/>
      <c r="E974" s="375"/>
      <c r="F974" s="375"/>
      <c r="G974" s="375"/>
      <c r="H974" s="375"/>
      <c r="I974" s="375"/>
      <c r="J974" s="375"/>
      <c r="K974" s="376"/>
      <c r="L974" s="377"/>
      <c r="M974" s="377"/>
      <c r="N974" s="378"/>
    </row>
    <row r="975" spans="1:14" ht="21.75" customHeight="1" x14ac:dyDescent="0.55000000000000004">
      <c r="A975" s="372"/>
      <c r="B975" s="372"/>
      <c r="C975" s="372"/>
      <c r="D975" s="372"/>
      <c r="E975" s="375"/>
      <c r="F975" s="375"/>
      <c r="G975" s="375"/>
      <c r="H975" s="375"/>
      <c r="I975" s="375"/>
      <c r="J975" s="375"/>
      <c r="K975" s="376"/>
      <c r="L975" s="377"/>
      <c r="M975" s="377"/>
      <c r="N975" s="378"/>
    </row>
    <row r="976" spans="1:14" ht="21.75" customHeight="1" x14ac:dyDescent="0.55000000000000004">
      <c r="A976" s="372"/>
      <c r="B976" s="372"/>
      <c r="C976" s="372"/>
      <c r="D976" s="372"/>
      <c r="E976" s="375"/>
      <c r="F976" s="375"/>
      <c r="G976" s="375"/>
      <c r="H976" s="375"/>
      <c r="I976" s="375"/>
      <c r="J976" s="375"/>
      <c r="K976" s="376"/>
      <c r="L976" s="377"/>
      <c r="M976" s="377"/>
      <c r="N976" s="378"/>
    </row>
    <row r="977" spans="1:14" ht="21.75" customHeight="1" x14ac:dyDescent="0.55000000000000004">
      <c r="A977" s="372"/>
      <c r="B977" s="372"/>
      <c r="C977" s="372"/>
      <c r="D977" s="372"/>
      <c r="E977" s="375"/>
      <c r="F977" s="375"/>
      <c r="G977" s="375"/>
      <c r="H977" s="375"/>
      <c r="I977" s="375"/>
      <c r="J977" s="375"/>
      <c r="K977" s="376"/>
      <c r="L977" s="377"/>
      <c r="M977" s="377"/>
      <c r="N977" s="378"/>
    </row>
    <row r="978" spans="1:14" ht="21.75" customHeight="1" x14ac:dyDescent="0.55000000000000004">
      <c r="A978" s="372"/>
      <c r="B978" s="372"/>
      <c r="C978" s="372"/>
      <c r="D978" s="372"/>
      <c r="E978" s="375"/>
      <c r="F978" s="375"/>
      <c r="G978" s="375"/>
      <c r="H978" s="375"/>
      <c r="I978" s="375"/>
      <c r="J978" s="375"/>
      <c r="K978" s="376"/>
      <c r="L978" s="377"/>
      <c r="M978" s="377"/>
      <c r="N978" s="378"/>
    </row>
    <row r="979" spans="1:14" ht="21.75" customHeight="1" x14ac:dyDescent="0.55000000000000004">
      <c r="A979" s="372"/>
      <c r="B979" s="372"/>
      <c r="C979" s="372"/>
      <c r="D979" s="372"/>
      <c r="E979" s="375"/>
      <c r="F979" s="375"/>
      <c r="G979" s="375"/>
      <c r="H979" s="375"/>
      <c r="I979" s="375"/>
      <c r="J979" s="375"/>
      <c r="K979" s="376"/>
      <c r="L979" s="377"/>
      <c r="M979" s="377"/>
      <c r="N979" s="378"/>
    </row>
    <row r="980" spans="1:14" ht="21.75" customHeight="1" x14ac:dyDescent="0.55000000000000004">
      <c r="A980" s="372"/>
      <c r="B980" s="372"/>
      <c r="C980" s="372"/>
      <c r="D980" s="372"/>
      <c r="E980" s="375"/>
      <c r="F980" s="375"/>
      <c r="G980" s="375"/>
      <c r="H980" s="375"/>
      <c r="I980" s="375"/>
      <c r="J980" s="375"/>
      <c r="K980" s="376"/>
      <c r="L980" s="377"/>
      <c r="M980" s="377"/>
      <c r="N980" s="378"/>
    </row>
    <row r="981" spans="1:14" ht="21.75" customHeight="1" x14ac:dyDescent="0.55000000000000004">
      <c r="A981" s="372"/>
      <c r="B981" s="372"/>
      <c r="C981" s="372"/>
      <c r="D981" s="372"/>
      <c r="E981" s="375"/>
      <c r="F981" s="375"/>
      <c r="G981" s="375"/>
      <c r="H981" s="375"/>
      <c r="I981" s="375"/>
      <c r="J981" s="375"/>
      <c r="K981" s="376"/>
      <c r="L981" s="377"/>
      <c r="M981" s="377"/>
      <c r="N981" s="378"/>
    </row>
    <row r="982" spans="1:14" ht="21.75" customHeight="1" x14ac:dyDescent="0.55000000000000004">
      <c r="A982" s="372"/>
      <c r="B982" s="372"/>
      <c r="C982" s="372"/>
      <c r="D982" s="372"/>
      <c r="E982" s="375"/>
      <c r="F982" s="375"/>
      <c r="G982" s="375"/>
      <c r="H982" s="375"/>
      <c r="I982" s="375"/>
      <c r="J982" s="375"/>
      <c r="K982" s="376"/>
      <c r="L982" s="377"/>
      <c r="M982" s="377"/>
      <c r="N982" s="378"/>
    </row>
    <row r="983" spans="1:14" ht="21.75" customHeight="1" x14ac:dyDescent="0.55000000000000004">
      <c r="A983" s="372"/>
      <c r="B983" s="372"/>
      <c r="C983" s="372"/>
      <c r="D983" s="372"/>
      <c r="E983" s="375"/>
      <c r="F983" s="375"/>
      <c r="G983" s="375"/>
      <c r="H983" s="375"/>
      <c r="I983" s="375"/>
      <c r="J983" s="375"/>
      <c r="K983" s="376"/>
      <c r="L983" s="377"/>
      <c r="M983" s="377"/>
      <c r="N983" s="378"/>
    </row>
    <row r="984" spans="1:14" ht="21.75" customHeight="1" x14ac:dyDescent="0.55000000000000004">
      <c r="A984" s="372"/>
      <c r="B984" s="372"/>
      <c r="C984" s="372"/>
      <c r="D984" s="372"/>
      <c r="E984" s="375"/>
      <c r="F984" s="375"/>
      <c r="G984" s="375"/>
      <c r="H984" s="375"/>
      <c r="I984" s="375"/>
      <c r="J984" s="375"/>
      <c r="K984" s="376"/>
      <c r="L984" s="377"/>
      <c r="M984" s="377"/>
      <c r="N984" s="378"/>
    </row>
    <row r="985" spans="1:14" ht="21.75" customHeight="1" x14ac:dyDescent="0.55000000000000004">
      <c r="A985" s="372"/>
      <c r="B985" s="372"/>
      <c r="C985" s="372"/>
      <c r="D985" s="372"/>
      <c r="E985" s="375"/>
      <c r="F985" s="375"/>
      <c r="G985" s="375"/>
      <c r="H985" s="375"/>
      <c r="I985" s="375"/>
      <c r="J985" s="375"/>
      <c r="K985" s="376"/>
      <c r="L985" s="377"/>
      <c r="M985" s="377"/>
      <c r="N985" s="378"/>
    </row>
    <row r="986" spans="1:14" ht="21.75" customHeight="1" x14ac:dyDescent="0.55000000000000004">
      <c r="A986" s="372"/>
      <c r="B986" s="372"/>
      <c r="C986" s="372"/>
      <c r="D986" s="372"/>
      <c r="E986" s="375"/>
      <c r="F986" s="375"/>
      <c r="G986" s="375"/>
      <c r="H986" s="375"/>
      <c r="I986" s="375"/>
      <c r="J986" s="375"/>
      <c r="K986" s="376"/>
      <c r="L986" s="377"/>
      <c r="M986" s="377"/>
      <c r="N986" s="378"/>
    </row>
    <row r="987" spans="1:14" ht="21.75" customHeight="1" x14ac:dyDescent="0.55000000000000004">
      <c r="A987" s="372"/>
      <c r="B987" s="372"/>
      <c r="C987" s="372"/>
      <c r="D987" s="372"/>
      <c r="E987" s="375"/>
      <c r="F987" s="375"/>
      <c r="G987" s="375"/>
      <c r="H987" s="375"/>
      <c r="I987" s="375"/>
      <c r="J987" s="375"/>
      <c r="K987" s="376"/>
      <c r="L987" s="377"/>
      <c r="M987" s="377"/>
      <c r="N987" s="378"/>
    </row>
    <row r="988" spans="1:14" ht="21.75" customHeight="1" x14ac:dyDescent="0.55000000000000004">
      <c r="A988" s="372"/>
      <c r="B988" s="372"/>
      <c r="C988" s="372"/>
      <c r="D988" s="372"/>
      <c r="E988" s="375"/>
      <c r="F988" s="375"/>
      <c r="G988" s="375"/>
      <c r="H988" s="375"/>
      <c r="I988" s="375"/>
      <c r="J988" s="375"/>
      <c r="K988" s="376"/>
      <c r="L988" s="377"/>
      <c r="M988" s="377"/>
      <c r="N988" s="378"/>
    </row>
    <row r="989" spans="1:14" ht="21.75" customHeight="1" x14ac:dyDescent="0.55000000000000004">
      <c r="A989" s="372"/>
      <c r="B989" s="372"/>
      <c r="C989" s="372"/>
      <c r="D989" s="372"/>
      <c r="E989" s="375"/>
      <c r="F989" s="375"/>
      <c r="G989" s="375"/>
      <c r="H989" s="375"/>
      <c r="I989" s="375"/>
      <c r="J989" s="375"/>
      <c r="K989" s="376"/>
      <c r="L989" s="377"/>
      <c r="M989" s="377"/>
      <c r="N989" s="378"/>
    </row>
    <row r="990" spans="1:14" ht="21.75" customHeight="1" x14ac:dyDescent="0.55000000000000004">
      <c r="A990" s="372"/>
      <c r="B990" s="372"/>
      <c r="C990" s="372"/>
      <c r="D990" s="372"/>
      <c r="E990" s="375"/>
      <c r="F990" s="375"/>
      <c r="G990" s="375"/>
      <c r="H990" s="375"/>
      <c r="I990" s="375"/>
      <c r="J990" s="375"/>
      <c r="K990" s="376"/>
      <c r="L990" s="377"/>
      <c r="M990" s="377"/>
      <c r="N990" s="378"/>
    </row>
    <row r="991" spans="1:14" ht="21.75" customHeight="1" x14ac:dyDescent="0.55000000000000004">
      <c r="A991" s="372"/>
      <c r="B991" s="372"/>
      <c r="C991" s="372"/>
      <c r="D991" s="372"/>
      <c r="E991" s="375"/>
      <c r="F991" s="375"/>
      <c r="G991" s="375"/>
      <c r="H991" s="375"/>
      <c r="I991" s="375"/>
      <c r="J991" s="375"/>
      <c r="K991" s="376"/>
      <c r="L991" s="377"/>
      <c r="M991" s="377"/>
      <c r="N991" s="378"/>
    </row>
    <row r="992" spans="1:14" ht="21.75" customHeight="1" x14ac:dyDescent="0.55000000000000004">
      <c r="A992" s="372"/>
      <c r="B992" s="372"/>
      <c r="C992" s="372"/>
      <c r="D992" s="372"/>
      <c r="E992" s="375"/>
      <c r="F992" s="375"/>
      <c r="G992" s="375"/>
      <c r="H992" s="375"/>
      <c r="I992" s="375"/>
      <c r="J992" s="375"/>
      <c r="K992" s="376"/>
      <c r="L992" s="377"/>
      <c r="M992" s="377"/>
      <c r="N992" s="378"/>
    </row>
    <row r="993" spans="1:14" ht="21.75" customHeight="1" x14ac:dyDescent="0.55000000000000004">
      <c r="A993" s="372"/>
      <c r="B993" s="372"/>
      <c r="C993" s="372"/>
      <c r="D993" s="372"/>
      <c r="E993" s="375"/>
      <c r="F993" s="375"/>
      <c r="G993" s="375"/>
      <c r="H993" s="375"/>
      <c r="I993" s="375"/>
      <c r="J993" s="375"/>
      <c r="K993" s="376"/>
      <c r="L993" s="377"/>
      <c r="M993" s="377"/>
      <c r="N993" s="378"/>
    </row>
    <row r="994" spans="1:14" ht="21.75" customHeight="1" x14ac:dyDescent="0.55000000000000004">
      <c r="A994" s="372"/>
      <c r="B994" s="372"/>
      <c r="C994" s="372"/>
      <c r="D994" s="372"/>
      <c r="E994" s="375"/>
      <c r="F994" s="375"/>
      <c r="G994" s="375"/>
      <c r="H994" s="375"/>
      <c r="I994" s="375"/>
      <c r="J994" s="375"/>
      <c r="K994" s="376"/>
      <c r="L994" s="377"/>
      <c r="M994" s="377"/>
      <c r="N994" s="378"/>
    </row>
    <row r="995" spans="1:14" ht="21.75" customHeight="1" x14ac:dyDescent="0.55000000000000004">
      <c r="A995" s="372"/>
      <c r="B995" s="372"/>
      <c r="C995" s="372"/>
      <c r="D995" s="372"/>
      <c r="E995" s="375"/>
      <c r="F995" s="375"/>
      <c r="G995" s="375"/>
      <c r="H995" s="375"/>
      <c r="I995" s="375"/>
      <c r="J995" s="375"/>
      <c r="K995" s="376"/>
      <c r="L995" s="377"/>
      <c r="M995" s="377"/>
      <c r="N995" s="378"/>
    </row>
    <row r="996" spans="1:14" ht="21.75" customHeight="1" x14ac:dyDescent="0.55000000000000004">
      <c r="A996" s="372"/>
      <c r="B996" s="372"/>
      <c r="C996" s="372"/>
      <c r="D996" s="372"/>
      <c r="E996" s="375"/>
      <c r="F996" s="375"/>
      <c r="G996" s="375"/>
      <c r="H996" s="375"/>
      <c r="I996" s="375"/>
      <c r="J996" s="375"/>
      <c r="K996" s="376"/>
      <c r="L996" s="377"/>
      <c r="M996" s="377"/>
      <c r="N996" s="378"/>
    </row>
    <row r="997" spans="1:14" ht="21.75" customHeight="1" x14ac:dyDescent="0.55000000000000004">
      <c r="A997" s="372"/>
      <c r="B997" s="372"/>
      <c r="C997" s="372"/>
      <c r="D997" s="372"/>
      <c r="E997" s="375"/>
      <c r="F997" s="375"/>
      <c r="G997" s="375"/>
      <c r="H997" s="375"/>
      <c r="I997" s="375"/>
      <c r="J997" s="375"/>
      <c r="K997" s="376"/>
      <c r="L997" s="377"/>
      <c r="M997" s="377"/>
      <c r="N997" s="378"/>
    </row>
    <row r="998" spans="1:14" ht="21.75" customHeight="1" x14ac:dyDescent="0.55000000000000004">
      <c r="A998" s="372"/>
      <c r="B998" s="372"/>
      <c r="C998" s="372"/>
      <c r="D998" s="372"/>
      <c r="E998" s="375"/>
      <c r="F998" s="375"/>
      <c r="G998" s="375"/>
      <c r="H998" s="375"/>
      <c r="I998" s="375"/>
      <c r="J998" s="375"/>
      <c r="K998" s="376"/>
      <c r="L998" s="377"/>
      <c r="M998" s="377"/>
      <c r="N998" s="378"/>
    </row>
    <row r="999" spans="1:14" ht="21.75" customHeight="1" x14ac:dyDescent="0.55000000000000004">
      <c r="A999" s="372"/>
      <c r="B999" s="372"/>
      <c r="C999" s="372"/>
      <c r="D999" s="372"/>
      <c r="E999" s="375"/>
      <c r="F999" s="375"/>
      <c r="G999" s="375"/>
      <c r="H999" s="375"/>
      <c r="I999" s="375"/>
      <c r="J999" s="375"/>
      <c r="K999" s="376"/>
      <c r="L999" s="377"/>
      <c r="M999" s="377"/>
      <c r="N999" s="378"/>
    </row>
    <row r="1000" spans="1:14" ht="21.75" customHeight="1" x14ac:dyDescent="0.55000000000000004">
      <c r="A1000" s="372"/>
      <c r="B1000" s="372"/>
      <c r="C1000" s="372"/>
      <c r="D1000" s="372"/>
      <c r="E1000" s="375"/>
      <c r="F1000" s="375"/>
      <c r="G1000" s="375"/>
      <c r="H1000" s="375"/>
      <c r="I1000" s="375"/>
      <c r="J1000" s="375"/>
      <c r="K1000" s="376"/>
      <c r="L1000" s="377"/>
      <c r="M1000" s="377"/>
      <c r="N1000" s="378"/>
    </row>
    <row r="1001" spans="1:14" ht="21.75" customHeight="1" x14ac:dyDescent="0.55000000000000004">
      <c r="A1001" s="372"/>
      <c r="B1001" s="372"/>
      <c r="C1001" s="372"/>
      <c r="D1001" s="372"/>
      <c r="E1001" s="375"/>
      <c r="F1001" s="375"/>
      <c r="G1001" s="375"/>
      <c r="H1001" s="375"/>
      <c r="I1001" s="375"/>
      <c r="J1001" s="375"/>
      <c r="K1001" s="376"/>
      <c r="L1001" s="377"/>
      <c r="M1001" s="377"/>
      <c r="N1001" s="378"/>
    </row>
    <row r="1002" spans="1:14" ht="21.75" customHeight="1" x14ac:dyDescent="0.55000000000000004">
      <c r="A1002" s="372"/>
      <c r="B1002" s="372"/>
      <c r="C1002" s="372"/>
      <c r="D1002" s="372"/>
      <c r="E1002" s="375"/>
      <c r="F1002" s="375"/>
      <c r="G1002" s="375"/>
      <c r="H1002" s="375"/>
      <c r="I1002" s="375"/>
      <c r="J1002" s="375"/>
      <c r="K1002" s="376"/>
      <c r="L1002" s="377"/>
      <c r="M1002" s="377"/>
      <c r="N1002" s="378"/>
    </row>
    <row r="1003" spans="1:14" ht="21.75" customHeight="1" x14ac:dyDescent="0.55000000000000004">
      <c r="A1003" s="372"/>
      <c r="B1003" s="372"/>
      <c r="C1003" s="372"/>
      <c r="D1003" s="372"/>
      <c r="E1003" s="375"/>
      <c r="F1003" s="375"/>
      <c r="G1003" s="375"/>
      <c r="H1003" s="375"/>
      <c r="I1003" s="375"/>
      <c r="J1003" s="375"/>
      <c r="K1003" s="376"/>
      <c r="L1003" s="377"/>
      <c r="M1003" s="377"/>
      <c r="N1003" s="378"/>
    </row>
    <row r="1004" spans="1:14" ht="21.75" customHeight="1" x14ac:dyDescent="0.55000000000000004">
      <c r="A1004" s="372"/>
      <c r="B1004" s="372"/>
      <c r="C1004" s="372"/>
      <c r="D1004" s="372"/>
      <c r="E1004" s="375"/>
      <c r="F1004" s="375"/>
      <c r="G1004" s="375"/>
      <c r="H1004" s="375"/>
      <c r="I1004" s="375"/>
      <c r="J1004" s="375"/>
      <c r="K1004" s="376"/>
      <c r="L1004" s="377"/>
      <c r="M1004" s="377"/>
      <c r="N1004" s="378"/>
    </row>
    <row r="1005" spans="1:14" ht="21.75" customHeight="1" x14ac:dyDescent="0.55000000000000004">
      <c r="A1005" s="372"/>
      <c r="B1005" s="372"/>
      <c r="C1005" s="372"/>
      <c r="D1005" s="372"/>
      <c r="E1005" s="375"/>
      <c r="F1005" s="375"/>
      <c r="G1005" s="375"/>
      <c r="H1005" s="375"/>
      <c r="I1005" s="375"/>
      <c r="J1005" s="375"/>
      <c r="K1005" s="376"/>
      <c r="L1005" s="377"/>
      <c r="M1005" s="377"/>
      <c r="N1005" s="378"/>
    </row>
    <row r="1006" spans="1:14" ht="21.75" customHeight="1" x14ac:dyDescent="0.55000000000000004">
      <c r="A1006" s="372"/>
      <c r="B1006" s="372"/>
      <c r="C1006" s="372"/>
      <c r="D1006" s="372"/>
      <c r="E1006" s="375"/>
      <c r="F1006" s="375"/>
      <c r="G1006" s="375"/>
      <c r="H1006" s="375"/>
      <c r="I1006" s="375"/>
      <c r="J1006" s="375"/>
      <c r="K1006" s="376"/>
      <c r="L1006" s="377"/>
      <c r="M1006" s="377"/>
      <c r="N1006" s="378"/>
    </row>
    <row r="1007" spans="1:14" ht="21.75" customHeight="1" x14ac:dyDescent="0.55000000000000004">
      <c r="A1007" s="372"/>
      <c r="B1007" s="372"/>
      <c r="C1007" s="372"/>
      <c r="D1007" s="372"/>
      <c r="E1007" s="375"/>
      <c r="F1007" s="375"/>
      <c r="G1007" s="375"/>
      <c r="H1007" s="375"/>
      <c r="I1007" s="375"/>
      <c r="J1007" s="375"/>
      <c r="K1007" s="376"/>
      <c r="L1007" s="377"/>
      <c r="M1007" s="377"/>
      <c r="N1007" s="378"/>
    </row>
    <row r="1008" spans="1:14" ht="21.75" customHeight="1" x14ac:dyDescent="0.55000000000000004">
      <c r="A1008" s="372"/>
      <c r="B1008" s="372"/>
      <c r="C1008" s="372"/>
      <c r="D1008" s="372"/>
      <c r="E1008" s="375"/>
      <c r="F1008" s="375"/>
      <c r="G1008" s="375"/>
      <c r="H1008" s="375"/>
      <c r="I1008" s="375"/>
      <c r="J1008" s="375"/>
      <c r="K1008" s="376"/>
      <c r="L1008" s="377"/>
      <c r="M1008" s="377"/>
      <c r="N1008" s="378"/>
    </row>
    <row r="1009" spans="1:14" ht="21.75" customHeight="1" x14ac:dyDescent="0.55000000000000004">
      <c r="A1009" s="372"/>
      <c r="B1009" s="372"/>
      <c r="C1009" s="372"/>
      <c r="D1009" s="372"/>
      <c r="E1009" s="375"/>
      <c r="F1009" s="375"/>
      <c r="G1009" s="375"/>
      <c r="H1009" s="375"/>
      <c r="I1009" s="375"/>
      <c r="J1009" s="375"/>
      <c r="K1009" s="376"/>
      <c r="L1009" s="377"/>
      <c r="M1009" s="377"/>
      <c r="N1009" s="378"/>
    </row>
    <row r="1010" spans="1:14" ht="21.75" customHeight="1" x14ac:dyDescent="0.55000000000000004">
      <c r="A1010" s="372"/>
      <c r="B1010" s="372"/>
      <c r="C1010" s="372"/>
      <c r="D1010" s="372"/>
      <c r="E1010" s="375"/>
      <c r="F1010" s="375"/>
      <c r="G1010" s="375"/>
      <c r="H1010" s="375"/>
      <c r="I1010" s="375"/>
      <c r="J1010" s="375"/>
      <c r="K1010" s="376"/>
      <c r="L1010" s="377"/>
      <c r="M1010" s="377"/>
      <c r="N1010" s="378"/>
    </row>
    <row r="1011" spans="1:14" ht="21.75" customHeight="1" x14ac:dyDescent="0.55000000000000004">
      <c r="A1011" s="372"/>
      <c r="B1011" s="372"/>
      <c r="C1011" s="372"/>
      <c r="D1011" s="372"/>
      <c r="E1011" s="375"/>
      <c r="F1011" s="375"/>
      <c r="G1011" s="375"/>
      <c r="H1011" s="375"/>
      <c r="I1011" s="375"/>
      <c r="J1011" s="375"/>
      <c r="K1011" s="376"/>
      <c r="L1011" s="377"/>
      <c r="M1011" s="377"/>
      <c r="N1011" s="378"/>
    </row>
    <row r="1012" spans="1:14" ht="21.75" customHeight="1" x14ac:dyDescent="0.55000000000000004">
      <c r="A1012" s="372"/>
      <c r="B1012" s="372"/>
      <c r="C1012" s="372"/>
      <c r="D1012" s="372"/>
      <c r="E1012" s="375"/>
      <c r="F1012" s="375"/>
      <c r="G1012" s="375"/>
      <c r="H1012" s="375"/>
      <c r="I1012" s="375"/>
      <c r="J1012" s="375"/>
      <c r="K1012" s="376"/>
      <c r="L1012" s="377"/>
      <c r="M1012" s="377"/>
      <c r="N1012" s="378"/>
    </row>
    <row r="1013" spans="1:14" ht="21.75" customHeight="1" x14ac:dyDescent="0.55000000000000004">
      <c r="A1013" s="372"/>
      <c r="B1013" s="372"/>
      <c r="C1013" s="372"/>
      <c r="D1013" s="372"/>
      <c r="E1013" s="375"/>
      <c r="F1013" s="375"/>
      <c r="G1013" s="375"/>
      <c r="H1013" s="375"/>
      <c r="I1013" s="375"/>
      <c r="J1013" s="375"/>
      <c r="K1013" s="376"/>
      <c r="L1013" s="377"/>
      <c r="M1013" s="377"/>
      <c r="N1013" s="378"/>
    </row>
    <row r="1014" spans="1:14" ht="21.75" customHeight="1" x14ac:dyDescent="0.55000000000000004">
      <c r="A1014" s="372"/>
      <c r="B1014" s="372"/>
      <c r="C1014" s="372"/>
      <c r="D1014" s="372"/>
      <c r="E1014" s="375"/>
      <c r="F1014" s="375"/>
      <c r="G1014" s="375"/>
      <c r="H1014" s="375"/>
      <c r="I1014" s="375"/>
      <c r="J1014" s="375"/>
      <c r="K1014" s="376"/>
      <c r="L1014" s="377"/>
      <c r="M1014" s="377"/>
      <c r="N1014" s="378"/>
    </row>
    <row r="1015" spans="1:14" ht="21.75" customHeight="1" x14ac:dyDescent="0.55000000000000004">
      <c r="A1015" s="372"/>
      <c r="B1015" s="372"/>
      <c r="C1015" s="372"/>
      <c r="D1015" s="372"/>
      <c r="E1015" s="375"/>
      <c r="F1015" s="375"/>
      <c r="G1015" s="375"/>
      <c r="H1015" s="375"/>
      <c r="I1015" s="375"/>
      <c r="J1015" s="375"/>
      <c r="K1015" s="376"/>
      <c r="L1015" s="377"/>
      <c r="M1015" s="377"/>
      <c r="N1015" s="378"/>
    </row>
    <row r="1016" spans="1:14" ht="21.75" customHeight="1" x14ac:dyDescent="0.55000000000000004">
      <c r="A1016" s="372"/>
      <c r="B1016" s="372"/>
      <c r="C1016" s="372"/>
      <c r="D1016" s="372"/>
      <c r="E1016" s="375"/>
      <c r="F1016" s="375"/>
      <c r="G1016" s="375"/>
      <c r="H1016" s="375"/>
      <c r="I1016" s="375"/>
      <c r="J1016" s="375"/>
      <c r="K1016" s="376"/>
      <c r="L1016" s="377"/>
      <c r="M1016" s="377"/>
      <c r="N1016" s="378"/>
    </row>
    <row r="1017" spans="1:14" ht="21.75" customHeight="1" x14ac:dyDescent="0.55000000000000004">
      <c r="A1017" s="372"/>
      <c r="B1017" s="372"/>
      <c r="C1017" s="372"/>
      <c r="D1017" s="372"/>
      <c r="E1017" s="375"/>
      <c r="F1017" s="375"/>
      <c r="G1017" s="375"/>
      <c r="H1017" s="375"/>
      <c r="I1017" s="375"/>
      <c r="J1017" s="375"/>
      <c r="K1017" s="376"/>
      <c r="L1017" s="377"/>
      <c r="M1017" s="377"/>
      <c r="N1017" s="378"/>
    </row>
    <row r="1018" spans="1:14" ht="21.75" customHeight="1" x14ac:dyDescent="0.55000000000000004">
      <c r="A1018" s="372"/>
      <c r="B1018" s="372"/>
      <c r="C1018" s="372"/>
      <c r="D1018" s="372"/>
      <c r="E1018" s="375"/>
      <c r="F1018" s="375"/>
      <c r="G1018" s="375"/>
      <c r="H1018" s="375"/>
      <c r="I1018" s="375"/>
      <c r="J1018" s="375"/>
      <c r="K1018" s="376"/>
      <c r="L1018" s="377"/>
      <c r="M1018" s="377"/>
      <c r="N1018" s="378"/>
    </row>
    <row r="1019" spans="1:14" ht="21.75" customHeight="1" x14ac:dyDescent="0.55000000000000004">
      <c r="A1019" s="372"/>
      <c r="B1019" s="372"/>
      <c r="C1019" s="372"/>
      <c r="D1019" s="372"/>
      <c r="E1019" s="375"/>
      <c r="F1019" s="375"/>
      <c r="G1019" s="375"/>
      <c r="H1019" s="375"/>
      <c r="I1019" s="375"/>
      <c r="J1019" s="375"/>
      <c r="K1019" s="376"/>
      <c r="L1019" s="377"/>
      <c r="M1019" s="377"/>
      <c r="N1019" s="378"/>
    </row>
    <row r="1020" spans="1:14" ht="21.75" customHeight="1" x14ac:dyDescent="0.55000000000000004">
      <c r="A1020" s="372"/>
      <c r="B1020" s="372"/>
      <c r="C1020" s="372"/>
      <c r="D1020" s="372"/>
      <c r="E1020" s="375"/>
      <c r="F1020" s="375"/>
      <c r="G1020" s="375"/>
      <c r="H1020" s="375"/>
      <c r="I1020" s="375"/>
      <c r="J1020" s="375"/>
      <c r="K1020" s="376"/>
      <c r="L1020" s="377"/>
      <c r="M1020" s="377"/>
      <c r="N1020" s="378"/>
    </row>
    <row r="1021" spans="1:14" ht="21.75" customHeight="1" x14ac:dyDescent="0.55000000000000004">
      <c r="A1021" s="372"/>
      <c r="B1021" s="372"/>
      <c r="C1021" s="372"/>
      <c r="D1021" s="372"/>
      <c r="E1021" s="375"/>
      <c r="F1021" s="375"/>
      <c r="G1021" s="375"/>
      <c r="H1021" s="375"/>
      <c r="I1021" s="375"/>
      <c r="J1021" s="375"/>
      <c r="K1021" s="376"/>
      <c r="L1021" s="377"/>
      <c r="M1021" s="377"/>
      <c r="N1021" s="378"/>
    </row>
    <row r="1022" spans="1:14" ht="21.75" customHeight="1" x14ac:dyDescent="0.55000000000000004">
      <c r="A1022" s="372"/>
      <c r="B1022" s="372"/>
      <c r="C1022" s="372"/>
      <c r="D1022" s="372"/>
      <c r="E1022" s="375"/>
      <c r="F1022" s="375"/>
      <c r="G1022" s="375"/>
      <c r="H1022" s="375"/>
      <c r="I1022" s="375"/>
      <c r="J1022" s="375"/>
      <c r="K1022" s="376"/>
      <c r="L1022" s="377"/>
      <c r="M1022" s="377"/>
      <c r="N1022" s="378"/>
    </row>
    <row r="1023" spans="1:14" ht="21.75" customHeight="1" x14ac:dyDescent="0.55000000000000004">
      <c r="A1023" s="372"/>
      <c r="B1023" s="372"/>
      <c r="C1023" s="372"/>
      <c r="D1023" s="372"/>
      <c r="E1023" s="375"/>
      <c r="F1023" s="375"/>
      <c r="G1023" s="375"/>
      <c r="H1023" s="375"/>
      <c r="I1023" s="375"/>
      <c r="J1023" s="375"/>
      <c r="K1023" s="376"/>
      <c r="L1023" s="377"/>
      <c r="M1023" s="377"/>
      <c r="N1023" s="378"/>
    </row>
    <row r="1024" spans="1:14" ht="21.75" customHeight="1" x14ac:dyDescent="0.55000000000000004">
      <c r="A1024" s="372"/>
      <c r="B1024" s="372"/>
      <c r="C1024" s="372"/>
      <c r="D1024" s="372"/>
      <c r="E1024" s="375"/>
      <c r="F1024" s="375"/>
      <c r="G1024" s="375"/>
      <c r="H1024" s="375"/>
      <c r="I1024" s="375"/>
      <c r="J1024" s="375"/>
      <c r="K1024" s="376"/>
      <c r="L1024" s="377"/>
      <c r="M1024" s="377"/>
      <c r="N1024" s="378"/>
    </row>
    <row r="1025" spans="1:14" ht="21.75" customHeight="1" x14ac:dyDescent="0.55000000000000004">
      <c r="A1025" s="372"/>
      <c r="B1025" s="372"/>
      <c r="C1025" s="372"/>
      <c r="D1025" s="372"/>
      <c r="E1025" s="375"/>
      <c r="F1025" s="375"/>
      <c r="G1025" s="375"/>
      <c r="H1025" s="375"/>
      <c r="I1025" s="375"/>
      <c r="J1025" s="375"/>
      <c r="K1025" s="376"/>
      <c r="L1025" s="377"/>
      <c r="M1025" s="377"/>
      <c r="N1025" s="378"/>
    </row>
    <row r="1026" spans="1:14" ht="21.75" customHeight="1" x14ac:dyDescent="0.55000000000000004">
      <c r="A1026" s="372"/>
      <c r="B1026" s="372"/>
      <c r="C1026" s="372"/>
      <c r="D1026" s="372"/>
      <c r="E1026" s="375"/>
      <c r="F1026" s="375"/>
      <c r="G1026" s="375"/>
      <c r="H1026" s="375"/>
      <c r="I1026" s="375"/>
      <c r="J1026" s="375"/>
      <c r="K1026" s="376"/>
      <c r="L1026" s="377"/>
      <c r="M1026" s="377"/>
      <c r="N1026" s="378"/>
    </row>
    <row r="1027" spans="1:14" ht="21.75" customHeight="1" x14ac:dyDescent="0.55000000000000004">
      <c r="A1027" s="372"/>
      <c r="B1027" s="372"/>
      <c r="C1027" s="372"/>
      <c r="D1027" s="372"/>
      <c r="E1027" s="375"/>
      <c r="F1027" s="375"/>
      <c r="G1027" s="375"/>
      <c r="H1027" s="375"/>
      <c r="I1027" s="375"/>
      <c r="J1027" s="375"/>
      <c r="K1027" s="376"/>
      <c r="L1027" s="377"/>
      <c r="M1027" s="377"/>
      <c r="N1027" s="378"/>
    </row>
    <row r="1028" spans="1:14" ht="21.75" customHeight="1" x14ac:dyDescent="0.55000000000000004">
      <c r="A1028" s="372"/>
      <c r="B1028" s="372"/>
      <c r="C1028" s="372"/>
      <c r="D1028" s="372"/>
      <c r="E1028" s="375"/>
      <c r="F1028" s="375"/>
      <c r="G1028" s="375"/>
      <c r="H1028" s="375"/>
      <c r="I1028" s="375"/>
      <c r="J1028" s="375"/>
      <c r="K1028" s="376"/>
      <c r="L1028" s="377"/>
      <c r="M1028" s="377"/>
      <c r="N1028" s="378"/>
    </row>
    <row r="1029" spans="1:14" ht="21.75" customHeight="1" x14ac:dyDescent="0.55000000000000004">
      <c r="A1029" s="372"/>
      <c r="B1029" s="372"/>
      <c r="C1029" s="372"/>
      <c r="D1029" s="372"/>
      <c r="E1029" s="375"/>
      <c r="F1029" s="375"/>
      <c r="G1029" s="375"/>
      <c r="H1029" s="375"/>
      <c r="I1029" s="375"/>
      <c r="J1029" s="375"/>
      <c r="K1029" s="376"/>
      <c r="L1029" s="377"/>
      <c r="M1029" s="377"/>
      <c r="N1029" s="378"/>
    </row>
    <row r="1030" spans="1:14" ht="21.75" customHeight="1" x14ac:dyDescent="0.55000000000000004">
      <c r="A1030" s="372"/>
      <c r="B1030" s="372"/>
      <c r="C1030" s="372"/>
      <c r="D1030" s="372"/>
      <c r="E1030" s="375"/>
      <c r="F1030" s="375"/>
      <c r="G1030" s="375"/>
      <c r="H1030" s="375"/>
      <c r="I1030" s="375"/>
      <c r="J1030" s="375"/>
      <c r="K1030" s="376"/>
      <c r="L1030" s="377"/>
      <c r="M1030" s="377"/>
      <c r="N1030" s="378"/>
    </row>
    <row r="1031" spans="1:14" ht="21.75" customHeight="1" x14ac:dyDescent="0.55000000000000004">
      <c r="A1031" s="372"/>
      <c r="B1031" s="372"/>
      <c r="C1031" s="372"/>
      <c r="D1031" s="372"/>
      <c r="E1031" s="375"/>
      <c r="F1031" s="375"/>
      <c r="G1031" s="375"/>
      <c r="H1031" s="375"/>
      <c r="I1031" s="375"/>
      <c r="J1031" s="375"/>
      <c r="K1031" s="376"/>
      <c r="L1031" s="377"/>
      <c r="M1031" s="377"/>
      <c r="N1031" s="378"/>
    </row>
    <row r="1032" spans="1:14" ht="21.75" customHeight="1" x14ac:dyDescent="0.55000000000000004">
      <c r="A1032" s="372"/>
      <c r="B1032" s="372"/>
      <c r="C1032" s="372"/>
      <c r="D1032" s="372"/>
      <c r="E1032" s="375"/>
      <c r="F1032" s="375"/>
      <c r="G1032" s="375"/>
      <c r="H1032" s="375"/>
      <c r="I1032" s="375"/>
      <c r="J1032" s="375"/>
      <c r="K1032" s="376"/>
      <c r="L1032" s="377"/>
      <c r="M1032" s="377"/>
      <c r="N1032" s="378"/>
    </row>
    <row r="1033" spans="1:14" ht="21.75" customHeight="1" x14ac:dyDescent="0.55000000000000004">
      <c r="A1033" s="372"/>
      <c r="B1033" s="372"/>
      <c r="C1033" s="372"/>
      <c r="D1033" s="372"/>
      <c r="E1033" s="375"/>
      <c r="F1033" s="375"/>
      <c r="G1033" s="375"/>
      <c r="H1033" s="375"/>
      <c r="I1033" s="375"/>
      <c r="J1033" s="375"/>
      <c r="K1033" s="376"/>
      <c r="L1033" s="377"/>
      <c r="M1033" s="377"/>
      <c r="N1033" s="378"/>
    </row>
    <row r="1034" spans="1:14" ht="21.75" customHeight="1" x14ac:dyDescent="0.55000000000000004">
      <c r="A1034" s="372"/>
      <c r="B1034" s="372"/>
      <c r="C1034" s="372"/>
      <c r="D1034" s="372"/>
      <c r="E1034" s="375"/>
      <c r="F1034" s="375"/>
      <c r="G1034" s="375"/>
      <c r="H1034" s="375"/>
      <c r="I1034" s="375"/>
      <c r="J1034" s="375"/>
      <c r="K1034" s="376"/>
      <c r="L1034" s="377"/>
      <c r="M1034" s="377"/>
      <c r="N1034" s="378"/>
    </row>
    <row r="1035" spans="1:14" ht="21.75" customHeight="1" x14ac:dyDescent="0.55000000000000004">
      <c r="A1035" s="372"/>
      <c r="B1035" s="372"/>
      <c r="C1035" s="372"/>
      <c r="D1035" s="372"/>
      <c r="E1035" s="375"/>
      <c r="F1035" s="375"/>
      <c r="G1035" s="375"/>
      <c r="H1035" s="375"/>
      <c r="I1035" s="375"/>
      <c r="J1035" s="375"/>
      <c r="K1035" s="376"/>
      <c r="L1035" s="377"/>
      <c r="M1035" s="377"/>
      <c r="N1035" s="378"/>
    </row>
    <row r="1036" spans="1:14" ht="21.75" customHeight="1" x14ac:dyDescent="0.55000000000000004">
      <c r="A1036" s="372"/>
      <c r="B1036" s="372"/>
      <c r="C1036" s="372"/>
      <c r="D1036" s="372"/>
      <c r="E1036" s="375"/>
      <c r="F1036" s="375"/>
      <c r="G1036" s="375"/>
      <c r="H1036" s="375"/>
      <c r="I1036" s="375"/>
      <c r="J1036" s="375"/>
      <c r="K1036" s="376"/>
      <c r="L1036" s="377"/>
      <c r="M1036" s="377"/>
      <c r="N1036" s="378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พังงา</vt:lpstr>
      <vt:lpstr>พัทลุง</vt:lpstr>
      <vt:lpstr>ปัตตานี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2022-02-17T06:50:38Z</dcterms:modified>
</cp:coreProperties>
</file>